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6195" tabRatio="785"/>
  </bookViews>
  <sheets>
    <sheet name="총괄" sheetId="31" r:id="rId1"/>
    <sheet name="예산배정서" sheetId="27" r:id="rId2"/>
    <sheet name="일용임금" sheetId="3" r:id="rId3"/>
    <sheet name="일반수용비" sheetId="4" r:id="rId4"/>
    <sheet name="특근매식비" sheetId="5" r:id="rId5"/>
    <sheet name="임차비" sheetId="6" r:id="rId6"/>
    <sheet name="집배구수" sheetId="22" r:id="rId7"/>
    <sheet name="임차비 산출내역" sheetId="29" r:id="rId8"/>
    <sheet name="집중국 인원" sheetId="24" r:id="rId9"/>
    <sheet name="물량" sheetId="30" r:id="rId10"/>
    <sheet name="Sheet1" sheetId="32" r:id="rId11"/>
  </sheets>
  <definedNames>
    <definedName name="_xlnm._FilterDatabase" localSheetId="1" hidden="1">#REF!</definedName>
    <definedName name="_xlnm._FilterDatabase" hidden="1">#REF!</definedName>
  </definedNames>
  <calcPr calcId="124519"/>
</workbook>
</file>

<file path=xl/calcChain.xml><?xml version="1.0" encoding="utf-8"?>
<calcChain xmlns="http://schemas.openxmlformats.org/spreadsheetml/2006/main">
  <c r="D13" i="31"/>
  <c r="D12"/>
  <c r="C12"/>
  <c r="L17" i="27"/>
  <c r="L30"/>
  <c r="L40"/>
  <c r="L20" l="1"/>
  <c r="M29"/>
  <c r="M16"/>
  <c r="M27"/>
  <c r="L26"/>
  <c r="L22"/>
  <c r="L41"/>
  <c r="L28"/>
  <c r="L34"/>
  <c r="L35"/>
  <c r="L36"/>
  <c r="M10"/>
  <c r="M11"/>
  <c r="M12"/>
  <c r="M13"/>
  <c r="M14"/>
  <c r="M15"/>
  <c r="M21"/>
  <c r="M23"/>
  <c r="M24"/>
  <c r="M25"/>
  <c r="M31"/>
  <c r="M32"/>
  <c r="M33"/>
  <c r="M37"/>
  <c r="M38"/>
  <c r="M39"/>
  <c r="N47" i="5"/>
  <c r="N46"/>
  <c r="O25" i="4"/>
  <c r="M43" i="27"/>
  <c r="M42"/>
  <c r="M8"/>
  <c r="M6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M47" i="6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9" i="27" s="1"/>
  <c r="M18" i="6"/>
  <c r="M18" i="27" s="1"/>
  <c r="M17" i="6"/>
  <c r="M16"/>
  <c r="M15"/>
  <c r="M14"/>
  <c r="M13"/>
  <c r="M12"/>
  <c r="M11"/>
  <c r="M10"/>
  <c r="M9"/>
  <c r="M9" i="27" s="1"/>
  <c r="M8" i="6"/>
  <c r="M7"/>
  <c r="M7" i="27" s="1"/>
  <c r="M6" i="6"/>
  <c r="O5" i="3"/>
  <c r="N20" i="5"/>
  <c r="O6" i="4"/>
  <c r="C43" i="27"/>
  <c r="C42"/>
  <c r="C41"/>
  <c r="C40"/>
  <c r="C39"/>
  <c r="C38"/>
  <c r="C37"/>
  <c r="C34"/>
  <c r="C33"/>
  <c r="C32"/>
  <c r="C28"/>
  <c r="C26"/>
  <c r="C25"/>
  <c r="C24"/>
  <c r="C23"/>
  <c r="C21"/>
  <c r="C20"/>
  <c r="C19"/>
  <c r="C18"/>
  <c r="C17"/>
  <c r="C16"/>
  <c r="C15"/>
  <c r="C14"/>
  <c r="C13"/>
  <c r="C12"/>
  <c r="C10"/>
  <c r="C9"/>
  <c r="C8"/>
  <c r="C7"/>
  <c r="C46" i="32"/>
  <c r="P43" i="3"/>
  <c r="P42"/>
  <c r="P41"/>
  <c r="P40"/>
  <c r="P39"/>
  <c r="P38"/>
  <c r="P37"/>
  <c r="P36"/>
  <c r="C36" i="27" s="1"/>
  <c r="P35" i="3"/>
  <c r="C35" i="27" s="1"/>
  <c r="P34" i="3"/>
  <c r="P33"/>
  <c r="P32"/>
  <c r="P31"/>
  <c r="C31" i="27" s="1"/>
  <c r="P30" i="3"/>
  <c r="C30" i="27" s="1"/>
  <c r="P29" i="3"/>
  <c r="C29" i="27" s="1"/>
  <c r="P28" i="3"/>
  <c r="P27"/>
  <c r="C27" i="27" s="1"/>
  <c r="P26" i="3"/>
  <c r="P25"/>
  <c r="P24"/>
  <c r="P23"/>
  <c r="P22"/>
  <c r="C22" i="27" s="1"/>
  <c r="P21" i="3"/>
  <c r="P20"/>
  <c r="P19"/>
  <c r="P18"/>
  <c r="P17"/>
  <c r="P16"/>
  <c r="P15"/>
  <c r="P14"/>
  <c r="P13"/>
  <c r="P12"/>
  <c r="P11"/>
  <c r="C11" i="27" s="1"/>
  <c r="P10" i="3"/>
  <c r="P9"/>
  <c r="P8"/>
  <c r="P7"/>
  <c r="P6"/>
  <c r="C6" i="27" s="1"/>
  <c r="D46" i="32"/>
  <c r="E46"/>
  <c r="F46"/>
  <c r="B46"/>
  <c r="E45" i="27"/>
  <c r="O45" i="4"/>
  <c r="O46"/>
  <c r="E46" i="27" s="1"/>
  <c r="O47" i="4"/>
  <c r="E47" i="27" s="1"/>
  <c r="O44" i="4"/>
  <c r="E44" i="27" s="1"/>
  <c r="L7" i="4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6"/>
  <c r="N45" i="5"/>
  <c r="N44"/>
  <c r="N7"/>
  <c r="N8"/>
  <c r="N9"/>
  <c r="N10"/>
  <c r="N11"/>
  <c r="N12"/>
  <c r="N13"/>
  <c r="N14"/>
  <c r="N15"/>
  <c r="N16"/>
  <c r="N17"/>
  <c r="N18"/>
  <c r="N19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6"/>
  <c r="K7" i="29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6"/>
  <c r="I15" i="24"/>
  <c r="I16"/>
  <c r="I17"/>
  <c r="I14"/>
  <c r="N50" i="27"/>
  <c r="N48"/>
  <c r="N49"/>
  <c r="M50"/>
  <c r="I18" i="24" l="1"/>
  <c r="I14" i="27"/>
  <c r="I15"/>
  <c r="I13"/>
  <c r="N7" i="29" l="1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6"/>
  <c r="O21" i="4"/>
  <c r="O22"/>
  <c r="O23"/>
  <c r="O24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7"/>
  <c r="O8"/>
  <c r="O9"/>
  <c r="O10"/>
  <c r="O11"/>
  <c r="O12"/>
  <c r="O13"/>
  <c r="O14"/>
  <c r="O15"/>
  <c r="O16"/>
  <c r="O17"/>
  <c r="O18"/>
  <c r="O19"/>
  <c r="O20"/>
  <c r="K44" i="27"/>
  <c r="K45"/>
  <c r="K46"/>
  <c r="K47"/>
  <c r="I7"/>
  <c r="I8"/>
  <c r="I9"/>
  <c r="I10"/>
  <c r="I11"/>
  <c r="I12"/>
  <c r="I6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K7" i="3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6"/>
  <c r="K7" i="4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6"/>
  <c r="L7" i="5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6"/>
  <c r="T17" i="29"/>
  <c r="S17"/>
  <c r="D6"/>
  <c r="C6"/>
  <c r="B6"/>
  <c r="C41" i="30"/>
  <c r="D41"/>
  <c r="B41"/>
  <c r="L17" i="24"/>
  <c r="L16"/>
  <c r="N15"/>
  <c r="N17" s="1"/>
  <c r="M15"/>
  <c r="M17" s="1"/>
  <c r="J5" i="6"/>
  <c r="J5" i="5"/>
  <c r="J5" i="3"/>
  <c r="O55" i="27"/>
  <c r="N55"/>
  <c r="J55"/>
  <c r="G55"/>
  <c r="D55"/>
  <c r="G48"/>
  <c r="N44" l="1"/>
  <c r="N45"/>
  <c r="N46"/>
  <c r="N47"/>
  <c r="S18" i="29"/>
  <c r="N16" i="24"/>
  <c r="M16"/>
  <c r="P5" i="27" l="1"/>
  <c r="Q5"/>
  <c r="R5"/>
  <c r="C18" i="24" l="1"/>
  <c r="J53" i="27" l="1"/>
  <c r="D53"/>
  <c r="G53"/>
  <c r="O53" l="1"/>
  <c r="C50"/>
  <c r="E50"/>
  <c r="F50"/>
  <c r="H50"/>
  <c r="I50"/>
  <c r="K50"/>
  <c r="L50"/>
  <c r="B50"/>
  <c r="F6" i="22"/>
  <c r="M7" i="4" s="1"/>
  <c r="F7" i="22"/>
  <c r="M8" i="4" s="1"/>
  <c r="F8" i="22"/>
  <c r="L9" i="3" s="1"/>
  <c r="F9" i="22"/>
  <c r="L10" i="3" s="1"/>
  <c r="F10" i="22"/>
  <c r="M11" i="4" s="1"/>
  <c r="F11" i="22"/>
  <c r="M12" i="4" s="1"/>
  <c r="F12" i="22"/>
  <c r="L13" i="3" s="1"/>
  <c r="F13" i="22"/>
  <c r="L14" i="3" s="1"/>
  <c r="F14" i="22"/>
  <c r="M15" i="4" s="1"/>
  <c r="F15" i="22"/>
  <c r="M16" i="4" s="1"/>
  <c r="F16" i="22"/>
  <c r="L17" i="3" s="1"/>
  <c r="F17" i="22"/>
  <c r="M28" i="4" s="1"/>
  <c r="F18" i="22"/>
  <c r="L29" i="3" s="1"/>
  <c r="F19" i="22"/>
  <c r="L18" i="3" s="1"/>
  <c r="F20" i="22"/>
  <c r="M19" i="4" s="1"/>
  <c r="F21" i="22"/>
  <c r="L30" i="3" s="1"/>
  <c r="F22" i="22"/>
  <c r="M20" i="4" s="1"/>
  <c r="F23" i="22"/>
  <c r="L21" i="3" s="1"/>
  <c r="F24" i="22"/>
  <c r="L22" i="3" s="1"/>
  <c r="F25" i="22"/>
  <c r="M23" i="4" s="1"/>
  <c r="F26" i="22"/>
  <c r="M24" i="4" s="1"/>
  <c r="F27" i="22"/>
  <c r="L25" i="3" s="1"/>
  <c r="F28" i="22"/>
  <c r="L26" i="3" s="1"/>
  <c r="F29" i="22"/>
  <c r="M27" i="4" s="1"/>
  <c r="F30" i="22"/>
  <c r="M31" i="4" s="1"/>
  <c r="F31" i="22"/>
  <c r="M32" i="4" s="1"/>
  <c r="F32" i="22"/>
  <c r="L33" i="3" s="1"/>
  <c r="F33" i="22"/>
  <c r="L34" i="3" s="1"/>
  <c r="F34" i="22"/>
  <c r="M35" i="4" s="1"/>
  <c r="F35" i="22"/>
  <c r="M36" i="4" s="1"/>
  <c r="F36" i="22"/>
  <c r="L37" i="3" s="1"/>
  <c r="F37" i="22"/>
  <c r="L38" i="3" s="1"/>
  <c r="F38" i="22"/>
  <c r="M39" i="4" s="1"/>
  <c r="F39" i="22"/>
  <c r="M40" i="4" s="1"/>
  <c r="F40" i="22"/>
  <c r="L41" i="3" s="1"/>
  <c r="F41" i="22"/>
  <c r="L42" i="3" s="1"/>
  <c r="F42" i="22"/>
  <c r="M43" i="4" s="1"/>
  <c r="F5" i="22"/>
  <c r="M6" i="4" s="1"/>
  <c r="L43" i="3" l="1"/>
  <c r="L39"/>
  <c r="L35"/>
  <c r="L31"/>
  <c r="L27"/>
  <c r="L23"/>
  <c r="L19"/>
  <c r="L15"/>
  <c r="L11"/>
  <c r="L7"/>
  <c r="M41" i="4"/>
  <c r="M33"/>
  <c r="M29"/>
  <c r="M25"/>
  <c r="M21"/>
  <c r="M13"/>
  <c r="L6" i="3"/>
  <c r="L40"/>
  <c r="L36"/>
  <c r="L32"/>
  <c r="L28"/>
  <c r="L24"/>
  <c r="L20"/>
  <c r="L16"/>
  <c r="L12"/>
  <c r="L8"/>
  <c r="M42" i="4"/>
  <c r="M38"/>
  <c r="M34"/>
  <c r="M30"/>
  <c r="M26"/>
  <c r="M22"/>
  <c r="M18"/>
  <c r="M14"/>
  <c r="F4" i="22"/>
  <c r="F40" i="27"/>
  <c r="F36"/>
  <c r="F31"/>
  <c r="F26"/>
  <c r="F8"/>
  <c r="G8" s="1"/>
  <c r="F32"/>
  <c r="F27"/>
  <c r="F23"/>
  <c r="F19"/>
  <c r="G19" s="1"/>
  <c r="F42"/>
  <c r="F28"/>
  <c r="F24"/>
  <c r="F20"/>
  <c r="G20" s="1"/>
  <c r="F15"/>
  <c r="G15" s="1"/>
  <c r="F11"/>
  <c r="G11" s="1"/>
  <c r="F43"/>
  <c r="F39"/>
  <c r="F35"/>
  <c r="F21"/>
  <c r="G21" s="1"/>
  <c r="F16"/>
  <c r="G16" s="1"/>
  <c r="F12"/>
  <c r="G12" s="1"/>
  <c r="F7"/>
  <c r="G7" s="1"/>
  <c r="G4" i="22"/>
  <c r="C4"/>
  <c r="D4"/>
  <c r="E4"/>
  <c r="B4"/>
  <c r="M17" i="4" l="1"/>
  <c r="F22" i="27"/>
  <c r="F38"/>
  <c r="M37" i="4"/>
  <c r="F37" i="27" s="1"/>
  <c r="F29"/>
  <c r="F34"/>
  <c r="F13"/>
  <c r="G13" s="1"/>
  <c r="F18"/>
  <c r="G18" s="1"/>
  <c r="F30"/>
  <c r="M9" i="4"/>
  <c r="F9" i="27" s="1"/>
  <c r="G9" s="1"/>
  <c r="F41"/>
  <c r="F25"/>
  <c r="F14"/>
  <c r="G14" s="1"/>
  <c r="M10" i="4"/>
  <c r="F17" i="27"/>
  <c r="G17" s="1"/>
  <c r="F33"/>
  <c r="F6"/>
  <c r="G6" s="1"/>
  <c r="D7" i="29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C7"/>
  <c r="E7" s="1"/>
  <c r="C8"/>
  <c r="C9"/>
  <c r="C10"/>
  <c r="C11"/>
  <c r="E11" s="1"/>
  <c r="F11" s="1"/>
  <c r="C12"/>
  <c r="C13"/>
  <c r="C14"/>
  <c r="C15"/>
  <c r="E15" s="1"/>
  <c r="F15" s="1"/>
  <c r="C16"/>
  <c r="C17"/>
  <c r="C18"/>
  <c r="C19"/>
  <c r="E19" s="1"/>
  <c r="F19" s="1"/>
  <c r="C20"/>
  <c r="C21"/>
  <c r="C22"/>
  <c r="C23"/>
  <c r="E23" s="1"/>
  <c r="F23" s="1"/>
  <c r="C24"/>
  <c r="C25"/>
  <c r="C26"/>
  <c r="C27"/>
  <c r="E27" s="1"/>
  <c r="F27" s="1"/>
  <c r="C28"/>
  <c r="C29"/>
  <c r="C30"/>
  <c r="C31"/>
  <c r="E31" s="1"/>
  <c r="F31" s="1"/>
  <c r="C32"/>
  <c r="C33"/>
  <c r="C34"/>
  <c r="C35"/>
  <c r="E35" s="1"/>
  <c r="F35" s="1"/>
  <c r="C36"/>
  <c r="C37"/>
  <c r="C38"/>
  <c r="C39"/>
  <c r="E39" s="1"/>
  <c r="F39" s="1"/>
  <c r="C40"/>
  <c r="C41"/>
  <c r="C42"/>
  <c r="C43"/>
  <c r="E43" s="1"/>
  <c r="F43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F5" i="24"/>
  <c r="E40" i="29" l="1"/>
  <c r="F40" s="1"/>
  <c r="E36"/>
  <c r="F36" s="1"/>
  <c r="E32"/>
  <c r="F32" s="1"/>
  <c r="E28"/>
  <c r="F28" s="1"/>
  <c r="E24"/>
  <c r="F24" s="1"/>
  <c r="E20"/>
  <c r="F20" s="1"/>
  <c r="E16"/>
  <c r="F16" s="1"/>
  <c r="E12"/>
  <c r="F12" s="1"/>
  <c r="E8"/>
  <c r="F8" s="1"/>
  <c r="G36"/>
  <c r="H36" s="1"/>
  <c r="G20"/>
  <c r="H20" s="1"/>
  <c r="E42"/>
  <c r="F42" s="1"/>
  <c r="E38"/>
  <c r="F38" s="1"/>
  <c r="E34"/>
  <c r="F34" s="1"/>
  <c r="E30"/>
  <c r="F30" s="1"/>
  <c r="E26"/>
  <c r="F26" s="1"/>
  <c r="E22"/>
  <c r="F22" s="1"/>
  <c r="E18"/>
  <c r="F18" s="1"/>
  <c r="E14"/>
  <c r="F14" s="1"/>
  <c r="E10"/>
  <c r="F10" s="1"/>
  <c r="F10" i="27"/>
  <c r="G10" s="1"/>
  <c r="L5" i="4"/>
  <c r="G43" i="29"/>
  <c r="H43" s="1"/>
  <c r="G39"/>
  <c r="H39" s="1"/>
  <c r="G35"/>
  <c r="H35" s="1"/>
  <c r="G31"/>
  <c r="H31" s="1"/>
  <c r="G27"/>
  <c r="H27" s="1"/>
  <c r="G23"/>
  <c r="H23" s="1"/>
  <c r="G19"/>
  <c r="H19" s="1"/>
  <c r="G15"/>
  <c r="H15" s="1"/>
  <c r="G11"/>
  <c r="H11" s="1"/>
  <c r="G7"/>
  <c r="H7" s="1"/>
  <c r="E41"/>
  <c r="F41" s="1"/>
  <c r="E37"/>
  <c r="F37" s="1"/>
  <c r="E33"/>
  <c r="F33" s="1"/>
  <c r="E29"/>
  <c r="F29" s="1"/>
  <c r="E25"/>
  <c r="F25" s="1"/>
  <c r="E21"/>
  <c r="F21" s="1"/>
  <c r="E17"/>
  <c r="F17" s="1"/>
  <c r="E13"/>
  <c r="F13" s="1"/>
  <c r="E9"/>
  <c r="F9" s="1"/>
  <c r="B5"/>
  <c r="D5"/>
  <c r="C5"/>
  <c r="F7"/>
  <c r="N54" i="27"/>
  <c r="J54"/>
  <c r="G54"/>
  <c r="D54"/>
  <c r="G32" i="29" l="1"/>
  <c r="H32" s="1"/>
  <c r="G16"/>
  <c r="H16" s="1"/>
  <c r="G28"/>
  <c r="H28" s="1"/>
  <c r="G8"/>
  <c r="H8" s="1"/>
  <c r="G24"/>
  <c r="H24" s="1"/>
  <c r="G40"/>
  <c r="H40" s="1"/>
  <c r="G12"/>
  <c r="H12" s="1"/>
  <c r="G22"/>
  <c r="H22" s="1"/>
  <c r="G18"/>
  <c r="H18" s="1"/>
  <c r="G42"/>
  <c r="H42" s="1"/>
  <c r="G10"/>
  <c r="H10" s="1"/>
  <c r="G14"/>
  <c r="H14" s="1"/>
  <c r="G34"/>
  <c r="H34" s="1"/>
  <c r="G26"/>
  <c r="H26" s="1"/>
  <c r="G30"/>
  <c r="H30" s="1"/>
  <c r="G38"/>
  <c r="H38" s="1"/>
  <c r="G37"/>
  <c r="H37" s="1"/>
  <c r="G9"/>
  <c r="H9" s="1"/>
  <c r="G29"/>
  <c r="H29" s="1"/>
  <c r="G25"/>
  <c r="H25" s="1"/>
  <c r="G17"/>
  <c r="H17" s="1"/>
  <c r="G33"/>
  <c r="H33" s="1"/>
  <c r="G13"/>
  <c r="H13" s="1"/>
  <c r="G21"/>
  <c r="H21" s="1"/>
  <c r="G41"/>
  <c r="H41" s="1"/>
  <c r="O54" i="27"/>
  <c r="I5" i="4"/>
  <c r="I5" i="5"/>
  <c r="I5" i="6"/>
  <c r="I5" i="3"/>
  <c r="N6"/>
  <c r="E6" i="29"/>
  <c r="M5" i="6"/>
  <c r="H5"/>
  <c r="G5"/>
  <c r="F5"/>
  <c r="E5"/>
  <c r="D5"/>
  <c r="C5"/>
  <c r="B5"/>
  <c r="H5" i="5"/>
  <c r="G5"/>
  <c r="F5"/>
  <c r="E5"/>
  <c r="D5"/>
  <c r="C5"/>
  <c r="B5"/>
  <c r="C5" i="4"/>
  <c r="D5"/>
  <c r="E5"/>
  <c r="F5"/>
  <c r="G5"/>
  <c r="H5"/>
  <c r="B5"/>
  <c r="M5" i="3"/>
  <c r="C5"/>
  <c r="D5"/>
  <c r="E5"/>
  <c r="F5"/>
  <c r="G5"/>
  <c r="H5"/>
  <c r="B5"/>
  <c r="N17"/>
  <c r="N31"/>
  <c r="N32"/>
  <c r="N33"/>
  <c r="N37"/>
  <c r="N38"/>
  <c r="N39"/>
  <c r="N40"/>
  <c r="N41"/>
  <c r="N42"/>
  <c r="N43"/>
  <c r="B11" i="31"/>
  <c r="B10"/>
  <c r="B9"/>
  <c r="B8"/>
  <c r="B7"/>
  <c r="B6"/>
  <c r="B5"/>
  <c r="B4"/>
  <c r="F6" i="29" l="1"/>
  <c r="G6"/>
  <c r="E5"/>
  <c r="K5" i="3"/>
  <c r="D15" i="24"/>
  <c r="E15" s="1"/>
  <c r="G5" i="29" l="1"/>
  <c r="H6"/>
  <c r="H5" s="1"/>
  <c r="D16" i="24"/>
  <c r="E16" s="1"/>
  <c r="D17"/>
  <c r="E17" s="1"/>
  <c r="D18"/>
  <c r="D14"/>
  <c r="E14" s="1"/>
  <c r="N22" i="3" l="1"/>
  <c r="N18"/>
  <c r="N15"/>
  <c r="N11"/>
  <c r="N19"/>
  <c r="N12"/>
  <c r="N8"/>
  <c r="N20"/>
  <c r="N16"/>
  <c r="N13"/>
  <c r="N9"/>
  <c r="N21"/>
  <c r="N14"/>
  <c r="N10"/>
  <c r="I6" i="29" l="1"/>
  <c r="N5"/>
  <c r="J6" l="1"/>
  <c r="L6" i="24"/>
  <c r="N5"/>
  <c r="M5"/>
  <c r="S14" i="3"/>
  <c r="D52" i="27"/>
  <c r="L6" i="29" l="1"/>
  <c r="M5" i="4"/>
  <c r="N51" i="27"/>
  <c r="N52"/>
  <c r="J51"/>
  <c r="J52"/>
  <c r="G51"/>
  <c r="G52"/>
  <c r="D51"/>
  <c r="M6" i="29" l="1"/>
  <c r="P6" s="1"/>
  <c r="O52" i="27"/>
  <c r="O51"/>
  <c r="K6" i="6" l="1"/>
  <c r="M37" i="5"/>
  <c r="M7"/>
  <c r="M33"/>
  <c r="K45" i="4"/>
  <c r="N45" s="1"/>
  <c r="K46"/>
  <c r="N46" s="1"/>
  <c r="K47"/>
  <c r="N47" s="1"/>
  <c r="K44"/>
  <c r="N44" s="1"/>
  <c r="N45" i="3"/>
  <c r="P45" s="1"/>
  <c r="B45" i="27" s="1"/>
  <c r="N44" i="3"/>
  <c r="P44" s="1"/>
  <c r="B44" i="27" s="1"/>
  <c r="N5" i="4" l="1"/>
  <c r="K5"/>
  <c r="L5" i="5"/>
  <c r="M20"/>
  <c r="M13"/>
  <c r="M25"/>
  <c r="M17"/>
  <c r="M10"/>
  <c r="M29"/>
  <c r="M36"/>
  <c r="M32"/>
  <c r="M27"/>
  <c r="M23"/>
  <c r="M19"/>
  <c r="M6"/>
  <c r="M12"/>
  <c r="M8"/>
  <c r="M11"/>
  <c r="M24"/>
  <c r="M16"/>
  <c r="M9"/>
  <c r="M42"/>
  <c r="M38"/>
  <c r="M34"/>
  <c r="M41"/>
  <c r="M40"/>
  <c r="M21"/>
  <c r="M14"/>
  <c r="M28"/>
  <c r="M30"/>
  <c r="M26"/>
  <c r="M22"/>
  <c r="M18"/>
  <c r="M15"/>
  <c r="M43"/>
  <c r="M39"/>
  <c r="M35"/>
  <c r="M31"/>
  <c r="H9" i="24"/>
  <c r="C9"/>
  <c r="D9"/>
  <c r="E9"/>
  <c r="B9"/>
  <c r="N6" i="27" l="1"/>
  <c r="I5"/>
  <c r="I56" s="1"/>
  <c r="G5" i="24"/>
  <c r="G6"/>
  <c r="I6" s="1"/>
  <c r="K45" i="5" s="1"/>
  <c r="M45" s="1"/>
  <c r="F6" i="24"/>
  <c r="M7"/>
  <c r="N7"/>
  <c r="L7"/>
  <c r="M6"/>
  <c r="N6"/>
  <c r="G8"/>
  <c r="I8" s="1"/>
  <c r="K47" i="5" s="1"/>
  <c r="M47" s="1"/>
  <c r="F8" i="24"/>
  <c r="G7"/>
  <c r="I7" s="1"/>
  <c r="K46" i="5" s="1"/>
  <c r="M46" s="1"/>
  <c r="F7" i="24"/>
  <c r="H45" i="27" l="1"/>
  <c r="H46"/>
  <c r="H47"/>
  <c r="E5"/>
  <c r="C9" i="31"/>
  <c r="F18" i="24"/>
  <c r="F15"/>
  <c r="F16"/>
  <c r="F17"/>
  <c r="F14"/>
  <c r="I5"/>
  <c r="G9"/>
  <c r="F9"/>
  <c r="E56" i="27" l="1"/>
  <c r="C6" i="31"/>
  <c r="I9" i="24"/>
  <c r="K44" i="5"/>
  <c r="D49" i="27"/>
  <c r="J45"/>
  <c r="J46"/>
  <c r="J47"/>
  <c r="M44" i="5" l="1"/>
  <c r="H44" i="27" s="1"/>
  <c r="K5" i="5"/>
  <c r="N46" i="3"/>
  <c r="P46" s="1"/>
  <c r="B46" i="27" s="1"/>
  <c r="J49"/>
  <c r="G49"/>
  <c r="J48"/>
  <c r="J50" s="1"/>
  <c r="G50" l="1"/>
  <c r="M5" i="5"/>
  <c r="O49" i="27"/>
  <c r="N47" i="3"/>
  <c r="P47" s="1"/>
  <c r="B47" i="27" s="1"/>
  <c r="B5" l="1"/>
  <c r="B56" s="1"/>
  <c r="N5" i="5"/>
  <c r="D48" i="27"/>
  <c r="D44"/>
  <c r="O48" l="1"/>
  <c r="O50" s="1"/>
  <c r="D50"/>
  <c r="H5"/>
  <c r="J44"/>
  <c r="C4" i="31"/>
  <c r="D32" i="27"/>
  <c r="D43"/>
  <c r="D39"/>
  <c r="D40"/>
  <c r="D33"/>
  <c r="D41"/>
  <c r="D37"/>
  <c r="D38"/>
  <c r="D46"/>
  <c r="D47"/>
  <c r="H56" l="1"/>
  <c r="C8" i="31"/>
  <c r="D8" s="1"/>
  <c r="D42" i="27"/>
  <c r="D45"/>
  <c r="N29" i="3" l="1"/>
  <c r="N25"/>
  <c r="N34"/>
  <c r="N30"/>
  <c r="N26"/>
  <c r="N35"/>
  <c r="N27"/>
  <c r="N23"/>
  <c r="N36"/>
  <c r="N28"/>
  <c r="N24"/>
  <c r="N7" l="1"/>
  <c r="L5"/>
  <c r="D16" i="27"/>
  <c r="D20"/>
  <c r="D6"/>
  <c r="D18"/>
  <c r="D9"/>
  <c r="J7"/>
  <c r="D31"/>
  <c r="D17"/>
  <c r="D12"/>
  <c r="D11"/>
  <c r="D21"/>
  <c r="D15"/>
  <c r="D10"/>
  <c r="D19"/>
  <c r="D14"/>
  <c r="D13"/>
  <c r="D22"/>
  <c r="N5" i="3" l="1"/>
  <c r="D34" i="27"/>
  <c r="D28"/>
  <c r="D35"/>
  <c r="D27"/>
  <c r="D24"/>
  <c r="D36"/>
  <c r="D29"/>
  <c r="D25"/>
  <c r="D23"/>
  <c r="D26"/>
  <c r="D30"/>
  <c r="D8"/>
  <c r="P5" i="3" l="1"/>
  <c r="J42" i="27"/>
  <c r="J40"/>
  <c r="J27"/>
  <c r="J38"/>
  <c r="J36"/>
  <c r="J35"/>
  <c r="J34"/>
  <c r="J33"/>
  <c r="J32"/>
  <c r="J31"/>
  <c r="J26"/>
  <c r="J30"/>
  <c r="J29"/>
  <c r="J17"/>
  <c r="J25"/>
  <c r="J24"/>
  <c r="J23"/>
  <c r="J22"/>
  <c r="J21"/>
  <c r="J20"/>
  <c r="J19"/>
  <c r="J18"/>
  <c r="J6"/>
  <c r="O6" s="1"/>
  <c r="J15"/>
  <c r="J13"/>
  <c r="J12"/>
  <c r="J11"/>
  <c r="J10"/>
  <c r="J9"/>
  <c r="G47"/>
  <c r="O47" s="1"/>
  <c r="G46"/>
  <c r="O46" s="1"/>
  <c r="C5" l="1"/>
  <c r="C56" s="1"/>
  <c r="D7"/>
  <c r="D5" s="1"/>
  <c r="D56" s="1"/>
  <c r="G25"/>
  <c r="G30"/>
  <c r="G44"/>
  <c r="O44" s="1"/>
  <c r="J28"/>
  <c r="J39"/>
  <c r="J14"/>
  <c r="J41"/>
  <c r="J37"/>
  <c r="J8"/>
  <c r="J43"/>
  <c r="G45"/>
  <c r="O45" s="1"/>
  <c r="C5" i="31" l="1"/>
  <c r="D4" s="1"/>
  <c r="F5" i="27"/>
  <c r="F56" s="1"/>
  <c r="O5" i="4"/>
  <c r="G28" i="27"/>
  <c r="G34"/>
  <c r="G23"/>
  <c r="G29"/>
  <c r="G27"/>
  <c r="G37"/>
  <c r="G41"/>
  <c r="G22"/>
  <c r="G33"/>
  <c r="G38"/>
  <c r="G40"/>
  <c r="G42"/>
  <c r="G31"/>
  <c r="G43"/>
  <c r="G39"/>
  <c r="G24"/>
  <c r="G32"/>
  <c r="G36"/>
  <c r="G35"/>
  <c r="G26"/>
  <c r="J16"/>
  <c r="J5" s="1"/>
  <c r="J56" s="1"/>
  <c r="G5" l="1"/>
  <c r="G56" s="1"/>
  <c r="C7" i="31"/>
  <c r="D6" s="1"/>
  <c r="I20" i="29" l="1"/>
  <c r="J20" s="1"/>
  <c r="I8"/>
  <c r="J8" s="1"/>
  <c r="I25"/>
  <c r="J25" s="1"/>
  <c r="I11"/>
  <c r="J11" s="1"/>
  <c r="I19"/>
  <c r="J19" s="1"/>
  <c r="I10"/>
  <c r="J10" s="1"/>
  <c r="I33"/>
  <c r="J33" s="1"/>
  <c r="I28"/>
  <c r="J28" s="1"/>
  <c r="I36"/>
  <c r="J36" s="1"/>
  <c r="I26"/>
  <c r="J26" s="1"/>
  <c r="I23"/>
  <c r="J23" s="1"/>
  <c r="I39"/>
  <c r="J39" s="1"/>
  <c r="I43"/>
  <c r="J43" s="1"/>
  <c r="I27"/>
  <c r="J27" s="1"/>
  <c r="I38"/>
  <c r="J38" s="1"/>
  <c r="I29"/>
  <c r="J29" s="1"/>
  <c r="I15"/>
  <c r="J15" s="1"/>
  <c r="I37"/>
  <c r="J37" s="1"/>
  <c r="I14"/>
  <c r="J14" s="1"/>
  <c r="I34"/>
  <c r="J34" s="1"/>
  <c r="I35"/>
  <c r="J35" s="1"/>
  <c r="I22"/>
  <c r="J22" s="1"/>
  <c r="I13"/>
  <c r="J13" s="1"/>
  <c r="I21"/>
  <c r="J21" s="1"/>
  <c r="I18"/>
  <c r="J18" s="1"/>
  <c r="I32"/>
  <c r="J32" s="1"/>
  <c r="I31"/>
  <c r="J31" s="1"/>
  <c r="I12"/>
  <c r="J12" s="1"/>
  <c r="I24"/>
  <c r="J24" s="1"/>
  <c r="I40"/>
  <c r="J40" s="1"/>
  <c r="I17"/>
  <c r="J17" s="1"/>
  <c r="I42"/>
  <c r="J42" s="1"/>
  <c r="I9"/>
  <c r="J9" s="1"/>
  <c r="I16"/>
  <c r="J16" s="1"/>
  <c r="I41"/>
  <c r="J41" s="1"/>
  <c r="I30"/>
  <c r="J30" s="1"/>
  <c r="F5" l="1"/>
  <c r="H2" s="1"/>
  <c r="L14"/>
  <c r="M16"/>
  <c r="P16" s="1"/>
  <c r="L24"/>
  <c r="M24" s="1"/>
  <c r="P24" s="1"/>
  <c r="L13"/>
  <c r="M13" s="1"/>
  <c r="P13" s="1"/>
  <c r="M39"/>
  <c r="P39" s="1"/>
  <c r="L11"/>
  <c r="M11" s="1"/>
  <c r="P11" s="1"/>
  <c r="M41"/>
  <c r="P41" s="1"/>
  <c r="M42"/>
  <c r="P42" s="1"/>
  <c r="M31"/>
  <c r="P31" s="1"/>
  <c r="L21"/>
  <c r="M21" s="1"/>
  <c r="P21" s="1"/>
  <c r="M37"/>
  <c r="P37" s="1"/>
  <c r="M43"/>
  <c r="P43" s="1"/>
  <c r="L36"/>
  <c r="M36" s="1"/>
  <c r="P36" s="1"/>
  <c r="M9"/>
  <c r="P9" s="1"/>
  <c r="M40"/>
  <c r="P40" s="1"/>
  <c r="L18"/>
  <c r="M18" s="1"/>
  <c r="P18" s="1"/>
  <c r="L22"/>
  <c r="M22" s="1"/>
  <c r="P22" s="1"/>
  <c r="M29"/>
  <c r="P29" s="1"/>
  <c r="M26"/>
  <c r="P26" s="1"/>
  <c r="M19"/>
  <c r="P19" s="1"/>
  <c r="M30"/>
  <c r="P30" s="1"/>
  <c r="L17"/>
  <c r="M17" s="1"/>
  <c r="P17" s="1"/>
  <c r="M12"/>
  <c r="P12" s="1"/>
  <c r="L34"/>
  <c r="M34" s="1"/>
  <c r="P34" s="1"/>
  <c r="L15"/>
  <c r="M15" s="1"/>
  <c r="P15" s="1"/>
  <c r="L27"/>
  <c r="M27" s="1"/>
  <c r="P27" s="1"/>
  <c r="L23"/>
  <c r="M23" s="1"/>
  <c r="P23" s="1"/>
  <c r="L10"/>
  <c r="M10" s="1"/>
  <c r="P10" s="1"/>
  <c r="L25"/>
  <c r="M25" s="1"/>
  <c r="P25" s="1"/>
  <c r="M20"/>
  <c r="P20" s="1"/>
  <c r="M33"/>
  <c r="P33" s="1"/>
  <c r="M32"/>
  <c r="P32" s="1"/>
  <c r="M38"/>
  <c r="P38" s="1"/>
  <c r="M8"/>
  <c r="P8" s="1"/>
  <c r="L35"/>
  <c r="M35" s="1"/>
  <c r="P35" s="1"/>
  <c r="I7"/>
  <c r="L28"/>
  <c r="M28" s="1"/>
  <c r="P28" s="1"/>
  <c r="J7" l="1"/>
  <c r="I5"/>
  <c r="K26" i="6"/>
  <c r="K25"/>
  <c r="K10"/>
  <c r="K12"/>
  <c r="K18"/>
  <c r="K35"/>
  <c r="K23"/>
  <c r="K38"/>
  <c r="K43"/>
  <c r="K33"/>
  <c r="K30"/>
  <c r="K28"/>
  <c r="K37"/>
  <c r="K16"/>
  <c r="K22"/>
  <c r="K27"/>
  <c r="K36"/>
  <c r="K21"/>
  <c r="K17"/>
  <c r="K40"/>
  <c r="K32"/>
  <c r="K42"/>
  <c r="K9"/>
  <c r="K15"/>
  <c r="K11"/>
  <c r="K39"/>
  <c r="K31"/>
  <c r="K29"/>
  <c r="K20"/>
  <c r="K41"/>
  <c r="K19"/>
  <c r="K13"/>
  <c r="K34"/>
  <c r="K8"/>
  <c r="M14" i="29"/>
  <c r="N20" i="27" l="1"/>
  <c r="N11"/>
  <c r="N8"/>
  <c r="N39"/>
  <c r="N19"/>
  <c r="N31"/>
  <c r="N9"/>
  <c r="N17"/>
  <c r="N22"/>
  <c r="N30"/>
  <c r="N23"/>
  <c r="N10"/>
  <c r="N13"/>
  <c r="N29"/>
  <c r="N15"/>
  <c r="N40"/>
  <c r="N28"/>
  <c r="N38"/>
  <c r="N12"/>
  <c r="N34"/>
  <c r="N32"/>
  <c r="N36"/>
  <c r="N37"/>
  <c r="N43"/>
  <c r="N18"/>
  <c r="N26"/>
  <c r="N41"/>
  <c r="N42"/>
  <c r="N21"/>
  <c r="N16"/>
  <c r="N33"/>
  <c r="N25"/>
  <c r="N27"/>
  <c r="N35"/>
  <c r="K14" i="6"/>
  <c r="P14" i="29"/>
  <c r="K5"/>
  <c r="J5"/>
  <c r="K24" i="6"/>
  <c r="L7" i="29"/>
  <c r="L5" s="1"/>
  <c r="N24" i="27" l="1"/>
  <c r="N14"/>
  <c r="O14" s="1"/>
  <c r="O18"/>
  <c r="O43"/>
  <c r="O17"/>
  <c r="O41"/>
  <c r="O10"/>
  <c r="O22"/>
  <c r="O21"/>
  <c r="O39"/>
  <c r="O25"/>
  <c r="O35"/>
  <c r="O28"/>
  <c r="O40"/>
  <c r="O13"/>
  <c r="O36"/>
  <c r="O9"/>
  <c r="O20"/>
  <c r="O34"/>
  <c r="O23"/>
  <c r="O37"/>
  <c r="O11"/>
  <c r="O15"/>
  <c r="O26"/>
  <c r="O30"/>
  <c r="O27"/>
  <c r="O42"/>
  <c r="O8"/>
  <c r="O12"/>
  <c r="O33"/>
  <c r="O16"/>
  <c r="O29"/>
  <c r="O38"/>
  <c r="O32"/>
  <c r="O31"/>
  <c r="O19"/>
  <c r="M7" i="29"/>
  <c r="M5" l="1"/>
  <c r="P7"/>
  <c r="P5" s="1"/>
  <c r="O24" i="27"/>
  <c r="K7" i="6"/>
  <c r="K5" l="1"/>
  <c r="L5" i="27"/>
  <c r="L56" s="1"/>
  <c r="N5" i="6"/>
  <c r="N7" i="27" l="1"/>
  <c r="N5" s="1"/>
  <c r="N56" s="1"/>
  <c r="M5"/>
  <c r="M56" s="1"/>
  <c r="K5"/>
  <c r="K56" s="1"/>
  <c r="C10" i="31" l="1"/>
  <c r="O7" i="27"/>
  <c r="C11" i="31"/>
  <c r="D10" l="1"/>
  <c r="O5" i="27"/>
  <c r="O56" s="1"/>
</calcChain>
</file>

<file path=xl/sharedStrings.xml><?xml version="1.0" encoding="utf-8"?>
<sst xmlns="http://schemas.openxmlformats.org/spreadsheetml/2006/main" count="621" uniqueCount="238">
  <si>
    <t xml:space="preserve">  - 산출인원 : 집배구수+발착(소포위탁제외)</t>
  </si>
  <si>
    <t>산청</t>
  </si>
  <si>
    <t>진해</t>
  </si>
  <si>
    <t>창원</t>
  </si>
  <si>
    <t>거창</t>
  </si>
  <si>
    <t>김해</t>
  </si>
  <si>
    <t>울산</t>
  </si>
  <si>
    <t>해운대</t>
  </si>
  <si>
    <t>기장</t>
  </si>
  <si>
    <t>현원</t>
  </si>
  <si>
    <t>함안</t>
  </si>
  <si>
    <t>부산</t>
  </si>
  <si>
    <t>국명</t>
  </si>
  <si>
    <t>동울산</t>
  </si>
  <si>
    <t>합 계</t>
  </si>
  <si>
    <t>동부산</t>
  </si>
  <si>
    <t>창녕</t>
  </si>
  <si>
    <t>함양</t>
  </si>
  <si>
    <t>남해</t>
  </si>
  <si>
    <t>부산진</t>
  </si>
  <si>
    <t>합계</t>
  </si>
  <si>
    <t>사천</t>
  </si>
  <si>
    <t>계</t>
  </si>
  <si>
    <t>양산</t>
  </si>
  <si>
    <t>밀양</t>
  </si>
  <si>
    <t>북부산</t>
  </si>
  <si>
    <t>의령</t>
  </si>
  <si>
    <t>하동</t>
  </si>
  <si>
    <t>남부산</t>
  </si>
  <si>
    <t>마산</t>
  </si>
  <si>
    <t>정규직</t>
  </si>
  <si>
    <t>통영</t>
  </si>
  <si>
    <t>정원</t>
  </si>
  <si>
    <t>동래</t>
  </si>
  <si>
    <t>소계</t>
  </si>
  <si>
    <t>14설</t>
  </si>
  <si>
    <t>고성</t>
  </si>
  <si>
    <t>진주</t>
  </si>
  <si>
    <t>합천</t>
  </si>
  <si>
    <t>남울산</t>
  </si>
  <si>
    <t>거제</t>
  </si>
  <si>
    <t>구분</t>
  </si>
  <si>
    <t>임차비</t>
  </si>
  <si>
    <t>o 도시지역 총괄국 집배구수 기준</t>
  </si>
  <si>
    <t>특근매식비 산출내역</t>
  </si>
  <si>
    <t>비정규직
기념품</t>
  </si>
  <si>
    <t>배정액 (단위:천원)</t>
  </si>
  <si>
    <t>o 소통용품 구입</t>
  </si>
  <si>
    <t>일반수용비 산출내역</t>
  </si>
  <si>
    <t>o 총괄국</t>
  </si>
  <si>
    <t>마산합포</t>
  </si>
  <si>
    <t>집배구수</t>
  </si>
  <si>
    <t>발착인원</t>
  </si>
  <si>
    <t>부산사하</t>
  </si>
  <si>
    <t>중간
보관소등</t>
  </si>
  <si>
    <t>창원집중국</t>
  </si>
  <si>
    <t>13추석</t>
  </si>
  <si>
    <t>부산금정</t>
  </si>
  <si>
    <t>진주집중국</t>
  </si>
  <si>
    <t>부산사상</t>
  </si>
  <si>
    <t>부산연제</t>
  </si>
  <si>
    <t>부산영도</t>
  </si>
  <si>
    <t>울산집중국</t>
  </si>
  <si>
    <t>부산집중국</t>
  </si>
  <si>
    <t>부산강서</t>
  </si>
  <si>
    <t>&lt;배정기준&gt;</t>
  </si>
  <si>
    <t>집중국명</t>
  </si>
  <si>
    <t>합계(현원)</t>
  </si>
  <si>
    <t>특근매식비</t>
  </si>
  <si>
    <t>전년도 배정액</t>
  </si>
  <si>
    <t>배정인원</t>
  </si>
  <si>
    <t xml:space="preserve">   - 정규+우정실무원+특별채용인원</t>
  </si>
  <si>
    <t>특별소통
단기채용</t>
  </si>
  <si>
    <t>집중국 인원현황</t>
  </si>
  <si>
    <t>배정액
(천원)</t>
  </si>
  <si>
    <t>14추석</t>
  </si>
  <si>
    <t>국명</t>
    <phoneticPr fontId="5" type="noConversion"/>
  </si>
  <si>
    <t>14설</t>
    <phoneticPr fontId="5" type="noConversion"/>
  </si>
  <si>
    <t>13추석</t>
    <phoneticPr fontId="5" type="noConversion"/>
  </si>
  <si>
    <t>배정기준</t>
    <phoneticPr fontId="5" type="noConversion"/>
  </si>
  <si>
    <t>(단위 : 천원)</t>
  </si>
  <si>
    <t>5132-311
-210-01</t>
  </si>
  <si>
    <t>5132-312
-210-01</t>
  </si>
  <si>
    <t>5132-311
-210-05</t>
  </si>
  <si>
    <t>5132-312
-210-05</t>
  </si>
  <si>
    <t>5132-311
-210-07</t>
  </si>
  <si>
    <t>부산집</t>
  </si>
  <si>
    <t>창원집</t>
  </si>
  <si>
    <t>진주집</t>
  </si>
  <si>
    <t>울산집</t>
  </si>
  <si>
    <t>15추석</t>
    <phoneticPr fontId="5" type="noConversion"/>
  </si>
  <si>
    <t>배정액</t>
    <phoneticPr fontId="5" type="noConversion"/>
  </si>
  <si>
    <t>14추석</t>
    <phoneticPr fontId="5" type="noConversion"/>
  </si>
  <si>
    <t>15설</t>
    <phoneticPr fontId="5" type="noConversion"/>
  </si>
  <si>
    <t>o 배달물량별 임차소요대수 산출</t>
    <phoneticPr fontId="5" type="noConversion"/>
  </si>
  <si>
    <t>부 산</t>
  </si>
  <si>
    <t>창 원</t>
  </si>
  <si>
    <t>진 주</t>
  </si>
  <si>
    <t>울 산</t>
  </si>
  <si>
    <t>16설</t>
    <phoneticPr fontId="5" type="noConversion"/>
  </si>
  <si>
    <t>배정
기준액</t>
    <phoneticPr fontId="5" type="noConversion"/>
  </si>
  <si>
    <t xml:space="preserve">  - 평시대비 물량 증가분 반영</t>
    <phoneticPr fontId="5" type="noConversion"/>
  </si>
  <si>
    <t>14추석</t>
    <phoneticPr fontId="5" type="noConversion"/>
  </si>
  <si>
    <t>15설</t>
    <phoneticPr fontId="5" type="noConversion"/>
  </si>
  <si>
    <t>o 집중국 : 규모 및 물량 반영</t>
    <phoneticPr fontId="5" type="noConversion"/>
  </si>
  <si>
    <t>15추석</t>
    <phoneticPr fontId="5" type="noConversion"/>
  </si>
  <si>
    <t>16설</t>
    <phoneticPr fontId="5" type="noConversion"/>
  </si>
  <si>
    <t>16추석</t>
    <phoneticPr fontId="5" type="noConversion"/>
  </si>
  <si>
    <t xml:space="preserve">  - 집중국 : 규모반영</t>
    <phoneticPr fontId="5" type="noConversion"/>
  </si>
  <si>
    <t>배정인원</t>
    <phoneticPr fontId="5" type="noConversion"/>
  </si>
  <si>
    <t>배정액
(천원)</t>
    <phoneticPr fontId="5" type="noConversion"/>
  </si>
  <si>
    <t>14추석</t>
    <phoneticPr fontId="5" type="noConversion"/>
  </si>
  <si>
    <t>15설</t>
    <phoneticPr fontId="5" type="noConversion"/>
  </si>
  <si>
    <t>15추석</t>
    <phoneticPr fontId="5" type="noConversion"/>
  </si>
  <si>
    <t>16설</t>
    <phoneticPr fontId="5" type="noConversion"/>
  </si>
  <si>
    <t>구분</t>
    <phoneticPr fontId="5" type="noConversion"/>
  </si>
  <si>
    <t>단가</t>
    <phoneticPr fontId="5" type="noConversion"/>
  </si>
  <si>
    <t>주간</t>
    <phoneticPr fontId="5" type="noConversion"/>
  </si>
  <si>
    <t>야간</t>
    <phoneticPr fontId="5" type="noConversion"/>
  </si>
  <si>
    <t>주휴</t>
    <phoneticPr fontId="5" type="noConversion"/>
  </si>
  <si>
    <t>시간당</t>
    <phoneticPr fontId="5" type="noConversion"/>
  </si>
  <si>
    <t>4시간</t>
    <phoneticPr fontId="5" type="noConversion"/>
  </si>
  <si>
    <t>8시간</t>
    <phoneticPr fontId="5" type="noConversion"/>
  </si>
  <si>
    <t>소통용품</t>
    <phoneticPr fontId="5" type="noConversion"/>
  </si>
  <si>
    <t>연간</t>
  </si>
  <si>
    <t>특별소통기간</t>
  </si>
  <si>
    <t>차이</t>
  </si>
  <si>
    <t>소요대수</t>
  </si>
  <si>
    <t>산출금액</t>
  </si>
  <si>
    <t>배정예산</t>
  </si>
  <si>
    <t>금액차</t>
  </si>
  <si>
    <t>일평균</t>
  </si>
  <si>
    <t>(소통제외)</t>
  </si>
  <si>
    <t>집배구수</t>
    <phoneticPr fontId="5" type="noConversion"/>
  </si>
  <si>
    <t>월</t>
  </si>
  <si>
    <t>일수</t>
  </si>
  <si>
    <t>증감</t>
    <phoneticPr fontId="5" type="noConversion"/>
  </si>
  <si>
    <t>우정실무원</t>
    <phoneticPr fontId="5" type="noConversion"/>
  </si>
  <si>
    <t>o 중간보관소 및 일괄배달처(집배구당), 위탁구제외</t>
    <phoneticPr fontId="5" type="noConversion"/>
  </si>
  <si>
    <t>부하, 농산물</t>
    <phoneticPr fontId="5" type="noConversion"/>
  </si>
  <si>
    <t xml:space="preserve"> (단위 : 천원)</t>
    <phoneticPr fontId="5" type="noConversion"/>
  </si>
  <si>
    <t>추가배정</t>
    <phoneticPr fontId="5" type="noConversion"/>
  </si>
  <si>
    <t>일용임금</t>
    <phoneticPr fontId="5" type="noConversion"/>
  </si>
  <si>
    <t>특근매식비</t>
    <phoneticPr fontId="5" type="noConversion"/>
  </si>
  <si>
    <t>임차비</t>
    <phoneticPr fontId="5" type="noConversion"/>
  </si>
  <si>
    <t>17설</t>
    <phoneticPr fontId="5" type="noConversion"/>
  </si>
  <si>
    <t>별정국</t>
  </si>
  <si>
    <t>상시
계약</t>
  </si>
  <si>
    <t>특수지
계약</t>
  </si>
  <si>
    <t>구분</t>
    <phoneticPr fontId="5" type="noConversion"/>
  </si>
  <si>
    <t>처리물량</t>
    <phoneticPr fontId="5" type="noConversion"/>
  </si>
  <si>
    <t>점유비</t>
    <phoneticPr fontId="5" type="noConversion"/>
  </si>
  <si>
    <t>배정예산</t>
    <phoneticPr fontId="5" type="noConversion"/>
  </si>
  <si>
    <t>산출인원</t>
    <phoneticPr fontId="5" type="noConversion"/>
  </si>
  <si>
    <t>합계</t>
    <phoneticPr fontId="5" type="noConversion"/>
  </si>
  <si>
    <t>o 집중국 우정실무원 기념품 : 인당 25천원</t>
    <phoneticPr fontId="5" type="noConversion"/>
  </si>
  <si>
    <t xml:space="preserve">  - 도시지역 15천원, 농어촌 지역 10천원</t>
    <phoneticPr fontId="5" type="noConversion"/>
  </si>
  <si>
    <t>o 집중국 : 인당 6천원 (6일)</t>
    <phoneticPr fontId="5" type="noConversion"/>
  </si>
  <si>
    <t>시급</t>
    <phoneticPr fontId="5" type="noConversion"/>
  </si>
  <si>
    <t>일급</t>
    <phoneticPr fontId="5" type="noConversion"/>
  </si>
  <si>
    <t>집배구수</t>
    <phoneticPr fontId="5" type="noConversion"/>
  </si>
  <si>
    <t>배정인원</t>
    <phoneticPr fontId="5" type="noConversion"/>
  </si>
  <si>
    <t>구  분</t>
    <phoneticPr fontId="5" type="noConversion"/>
  </si>
  <si>
    <t>예  산  과  목</t>
    <phoneticPr fontId="5" type="noConversion"/>
  </si>
  <si>
    <t>금  액</t>
    <phoneticPr fontId="5" type="noConversion"/>
  </si>
  <si>
    <t>합  계</t>
    <phoneticPr fontId="5" type="noConversion"/>
  </si>
  <si>
    <t>일반수용비</t>
    <phoneticPr fontId="5" type="noConversion"/>
  </si>
  <si>
    <t>o 집하장, 장비 임차 추가반영</t>
    <phoneticPr fontId="5" type="noConversion"/>
  </si>
  <si>
    <t>합      계</t>
    <phoneticPr fontId="5" type="noConversion"/>
  </si>
  <si>
    <t>일 용 임 금</t>
    <phoneticPr fontId="5" type="noConversion"/>
  </si>
  <si>
    <t>임  차  비</t>
    <phoneticPr fontId="5" type="noConversion"/>
  </si>
  <si>
    <t>국명</t>
    <phoneticPr fontId="5" type="noConversion"/>
  </si>
  <si>
    <t>발착</t>
    <phoneticPr fontId="5" type="noConversion"/>
  </si>
  <si>
    <t>비고</t>
    <phoneticPr fontId="5" type="noConversion"/>
  </si>
  <si>
    <t>합계</t>
    <phoneticPr fontId="5" type="noConversion"/>
  </si>
  <si>
    <t>17설
(1.16~1.26)</t>
    <phoneticPr fontId="5" type="noConversion"/>
  </si>
  <si>
    <t>'18년 설 명절 우편물 특별소통 예산배정</t>
    <phoneticPr fontId="5" type="noConversion"/>
  </si>
  <si>
    <t>5132-311-110-04</t>
    <phoneticPr fontId="5" type="noConversion"/>
  </si>
  <si>
    <t>5132-312-110-04</t>
    <phoneticPr fontId="5" type="noConversion"/>
  </si>
  <si>
    <t>5132-312-210-07</t>
    <phoneticPr fontId="5" type="noConversion"/>
  </si>
  <si>
    <t>'18년 설 명절 우편물 특별소통 예산배정서</t>
    <phoneticPr fontId="5" type="noConversion"/>
  </si>
  <si>
    <t>본부배정</t>
    <phoneticPr fontId="5" type="noConversion"/>
  </si>
  <si>
    <t>청보류</t>
    <phoneticPr fontId="5" type="noConversion"/>
  </si>
  <si>
    <t>확보예산</t>
    <phoneticPr fontId="5" type="noConversion"/>
  </si>
  <si>
    <t>2016 설</t>
    <phoneticPr fontId="5" type="noConversion"/>
  </si>
  <si>
    <t>2016 추석</t>
    <phoneticPr fontId="5" type="noConversion"/>
  </si>
  <si>
    <t>2016 가을걷이</t>
    <phoneticPr fontId="5" type="noConversion"/>
  </si>
  <si>
    <t>2017 설</t>
    <phoneticPr fontId="5" type="noConversion"/>
  </si>
  <si>
    <t>2017 추석</t>
    <phoneticPr fontId="5" type="noConversion"/>
  </si>
  <si>
    <t>배정후 잔액</t>
    <phoneticPr fontId="5" type="noConversion"/>
  </si>
  <si>
    <t>일용임금</t>
    <phoneticPr fontId="5" type="noConversion"/>
  </si>
  <si>
    <t>일반수용비</t>
    <phoneticPr fontId="5" type="noConversion"/>
  </si>
  <si>
    <t>17추석</t>
    <phoneticPr fontId="5" type="noConversion"/>
  </si>
  <si>
    <t>합 계</t>
    <phoneticPr fontId="5" type="noConversion"/>
  </si>
  <si>
    <t>등기소포배달물량(2017.1~2017.12)</t>
    <phoneticPr fontId="5" type="noConversion"/>
  </si>
  <si>
    <t>총괄국별 집배구 현황(18.01.04현재)</t>
    <phoneticPr fontId="5" type="noConversion"/>
  </si>
  <si>
    <t>합계</t>
    <phoneticPr fontId="5" type="noConversion"/>
  </si>
  <si>
    <t>합계</t>
    <phoneticPr fontId="5" type="noConversion"/>
  </si>
  <si>
    <t>국명</t>
    <phoneticPr fontId="5" type="noConversion"/>
  </si>
  <si>
    <t>전기간</t>
    <phoneticPr fontId="5" type="noConversion"/>
  </si>
  <si>
    <t>201. 설</t>
    <phoneticPr fontId="5" type="noConversion"/>
  </si>
  <si>
    <t>2017. 추석</t>
    <phoneticPr fontId="5" type="noConversion"/>
  </si>
  <si>
    <t>17추석
(9.18~1.30)</t>
    <phoneticPr fontId="5" type="noConversion"/>
  </si>
  <si>
    <t>특별
소통</t>
    <phoneticPr fontId="5" type="noConversion"/>
  </si>
  <si>
    <t>2018년도 임금단가</t>
    <phoneticPr fontId="5" type="noConversion"/>
  </si>
  <si>
    <t>등기소포배달물량 (2017.1월~12월)</t>
    <phoneticPr fontId="5" type="noConversion"/>
  </si>
  <si>
    <t>'17추석</t>
    <phoneticPr fontId="5" type="noConversion"/>
  </si>
  <si>
    <t>기본</t>
    <phoneticPr fontId="5" type="noConversion"/>
  </si>
  <si>
    <t>추가</t>
    <phoneticPr fontId="5" type="noConversion"/>
  </si>
  <si>
    <t>'17년 설소통 처리물량</t>
    <phoneticPr fontId="5" type="noConversion"/>
  </si>
  <si>
    <t>2017.설</t>
    <phoneticPr fontId="5" type="noConversion"/>
  </si>
  <si>
    <t>5132-313-210-16</t>
    <phoneticPr fontId="5" type="noConversion"/>
  </si>
  <si>
    <t>운송료</t>
    <phoneticPr fontId="5" type="noConversion"/>
  </si>
  <si>
    <t xml:space="preserve">  - 우체국 : 집배구수 * 20천원</t>
    <phoneticPr fontId="5" type="noConversion"/>
  </si>
  <si>
    <t>일용임금</t>
    <phoneticPr fontId="5" type="noConversion"/>
  </si>
  <si>
    <t>단가상향요청</t>
    <phoneticPr fontId="5" type="noConversion"/>
  </si>
  <si>
    <t>수용비</t>
    <phoneticPr fontId="5" type="noConversion"/>
  </si>
  <si>
    <t>부산(집)</t>
    <phoneticPr fontId="5" type="noConversion"/>
  </si>
  <si>
    <t>창원(집)</t>
    <phoneticPr fontId="5" type="noConversion"/>
  </si>
  <si>
    <t>진주(집)</t>
    <phoneticPr fontId="5" type="noConversion"/>
  </si>
  <si>
    <t>울산(집)</t>
    <phoneticPr fontId="5" type="noConversion"/>
  </si>
  <si>
    <t>국 명</t>
    <phoneticPr fontId="5" type="noConversion"/>
  </si>
  <si>
    <t>추 가 요 청 내 역</t>
    <phoneticPr fontId="5" type="noConversion"/>
  </si>
  <si>
    <t>추가소요</t>
    <phoneticPr fontId="5" type="noConversion"/>
  </si>
  <si>
    <t>추가
요청</t>
    <phoneticPr fontId="5" type="noConversion"/>
  </si>
  <si>
    <t>일용임금 산출내역</t>
    <phoneticPr fontId="5" type="noConversion"/>
  </si>
  <si>
    <t>임차비 산출내역</t>
    <phoneticPr fontId="5" type="noConversion"/>
  </si>
  <si>
    <t>집하장, 지게차</t>
    <phoneticPr fontId="5" type="noConversion"/>
  </si>
  <si>
    <t xml:space="preserve"> - 110구 이상 ~ 120구 미만 : 10명</t>
    <phoneticPr fontId="5" type="noConversion"/>
  </si>
  <si>
    <t xml:space="preserve"> - 50구 이상 ~ 70구 미만    : 4명</t>
    <phoneticPr fontId="5" type="noConversion"/>
  </si>
  <si>
    <t xml:space="preserve"> - 70구 이상 ~ 90구 미만    : 6명</t>
    <phoneticPr fontId="5" type="noConversion"/>
  </si>
  <si>
    <t xml:space="preserve"> - 90구 이상 ~ 110 미만     : 8명</t>
    <phoneticPr fontId="5" type="noConversion"/>
  </si>
  <si>
    <t xml:space="preserve"> - 120구 이상                  : 12명</t>
    <phoneticPr fontId="5" type="noConversion"/>
  </si>
  <si>
    <t>o 우체국 5일, 집중국 12일 기준, 8시간제: 60,240원</t>
    <phoneticPr fontId="5" type="noConversion"/>
  </si>
  <si>
    <t>o 총괄국 : 집배부하, 소요 등에 따른 추가배정</t>
    <phoneticPr fontId="5" type="noConversion"/>
  </si>
  <si>
    <t xml:space="preserve">  - 인당 6천원(4일)</t>
    <phoneticPr fontId="5" type="noConversion"/>
  </si>
  <si>
    <t>운  송  료</t>
    <phoneticPr fontId="5" type="noConversion"/>
  </si>
  <si>
    <t>5132-313-210-16</t>
    <phoneticPr fontId="5" type="noConversion"/>
  </si>
</sst>
</file>

<file path=xl/styles.xml><?xml version="1.0" encoding="utf-8"?>
<styleSheet xmlns="http://schemas.openxmlformats.org/spreadsheetml/2006/main">
  <numFmts count="14">
    <numFmt numFmtId="41" formatCode="_-* #,##0_-;\-* #,##0_-;_-* &quot;-&quot;_-;_-@_-"/>
    <numFmt numFmtId="43" formatCode="_-* #,##0.00_-;\-* #,##0.00_-;_-* &quot;-&quot;??_-;_-@_-"/>
    <numFmt numFmtId="176" formatCode="0.000_ "/>
    <numFmt numFmtId="177" formatCode="0.0_ ;[Red]\-0.0\ "/>
    <numFmt numFmtId="178" formatCode="#,##0_);[Red]\(#,##0\)"/>
    <numFmt numFmtId="179" formatCode="0_ "/>
    <numFmt numFmtId="180" formatCode="#,##0_ "/>
    <numFmt numFmtId="181" formatCode="_ * #,##0_ ;_ * \-#,##0_ ;_ * &quot;-&quot;_ ;_ @_ "/>
    <numFmt numFmtId="182" formatCode="_ * #,##0.00_ ;_ * \-#,##0.00_ ;_ * &quot;-&quot;??_ ;_ @_ "/>
    <numFmt numFmtId="183" formatCode="&quot;₩&quot;#,##0;&quot;₩&quot;&quot;₩&quot;&quot;₩&quot;&quot;₩&quot;&quot;₩&quot;&quot;₩&quot;&quot;₩&quot;&quot;₩&quot;\-#,##0"/>
    <numFmt numFmtId="184" formatCode="&quot;₩&quot;#,##0.00;&quot;₩&quot;&quot;₩&quot;&quot;₩&quot;&quot;₩&quot;&quot;₩&quot;&quot;₩&quot;&quot;₩&quot;&quot;₩&quot;\-#,##0.00"/>
    <numFmt numFmtId="185" formatCode="_-* #,##0_-;&quot;₩&quot;\!\-* #,##0_-;_-* &quot;-&quot;_-;_-@_-"/>
    <numFmt numFmtId="186" formatCode="#,##0.0_ "/>
    <numFmt numFmtId="187" formatCode="0_);[Red]\(0\)"/>
  </numFmts>
  <fonts count="58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rgb="FF000000"/>
      <name val="한컴바탕"/>
      <family val="1"/>
      <charset val="129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2"/>
      <color indexed="8"/>
      <name val="한컴바탕"/>
      <family val="1"/>
      <charset val="129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2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0"/>
      <name val="Tahoma"/>
      <family val="2"/>
      <charset val="129"/>
    </font>
    <font>
      <sz val="10"/>
      <name val="Tahoma"/>
      <family val="2"/>
    </font>
    <font>
      <sz val="10"/>
      <color rgb="FF000000"/>
      <name val="Tahoma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10"/>
      <color indexed="6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sz val="10"/>
      <color indexed="63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8">
    <xf numFmtId="0" fontId="0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>
      <alignment vertical="center"/>
    </xf>
    <xf numFmtId="41" fontId="3" fillId="0" borderId="0">
      <alignment vertical="center"/>
    </xf>
    <xf numFmtId="0" fontId="7" fillId="2" borderId="0">
      <alignment vertical="center"/>
    </xf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0" fontId="10" fillId="0" borderId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>
      <alignment vertical="top"/>
    </xf>
    <xf numFmtId="41" fontId="7" fillId="0" borderId="0">
      <alignment vertical="center"/>
    </xf>
    <xf numFmtId="41" fontId="3" fillId="0" borderId="0">
      <alignment vertical="center"/>
    </xf>
    <xf numFmtId="41" fontId="9" fillId="0" borderId="0" applyFont="0" applyFill="0" applyBorder="0" applyAlignment="0" applyProtection="0"/>
    <xf numFmtId="185" fontId="2" fillId="0" borderId="0"/>
    <xf numFmtId="185" fontId="2" fillId="0" borderId="0"/>
    <xf numFmtId="185" fontId="2" fillId="0" borderId="0"/>
    <xf numFmtId="41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4" fillId="0" borderId="0">
      <alignment vertical="center"/>
    </xf>
    <xf numFmtId="0" fontId="12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/>
    <xf numFmtId="177" fontId="16" fillId="0" borderId="0" applyFont="0" applyFill="0" applyBorder="0" applyAlignment="0" applyProtection="0"/>
    <xf numFmtId="0" fontId="9" fillId="0" borderId="0">
      <alignment vertical="center"/>
    </xf>
    <xf numFmtId="0" fontId="17" fillId="0" borderId="0"/>
    <xf numFmtId="0" fontId="11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10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9" fillId="22" borderId="11" applyNumberFormat="0" applyFon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4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8" borderId="10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21" borderId="18" applyNumberFormat="0" applyAlignment="0" applyProtection="0">
      <alignment vertical="center"/>
    </xf>
    <xf numFmtId="0" fontId="15" fillId="0" borderId="0"/>
    <xf numFmtId="0" fontId="9" fillId="0" borderId="0">
      <alignment vertical="center"/>
    </xf>
    <xf numFmtId="176" fontId="16" fillId="0" borderId="0" applyFont="0" applyFill="0" applyBorder="0" applyAlignment="0" applyProtection="0"/>
    <xf numFmtId="0" fontId="2" fillId="0" borderId="0">
      <alignment vertical="center"/>
    </xf>
    <xf numFmtId="0" fontId="1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176" fontId="16" fillId="0" borderId="0" applyFont="0" applyFill="0" applyBorder="0" applyAlignment="0" applyProtection="0"/>
    <xf numFmtId="0" fontId="2" fillId="0" borderId="0">
      <alignment vertical="center"/>
    </xf>
    <xf numFmtId="0" fontId="9" fillId="0" borderId="0">
      <alignment vertical="center"/>
    </xf>
  </cellStyleXfs>
  <cellXfs count="304">
    <xf numFmtId="0" fontId="0" fillId="0" borderId="0" xfId="0" applyNumberFormat="1">
      <alignment vertical="center"/>
    </xf>
    <xf numFmtId="0" fontId="34" fillId="0" borderId="0" xfId="121" applyFont="1" applyFill="1" applyBorder="1" applyAlignment="1">
      <alignment horizontal="right"/>
    </xf>
    <xf numFmtId="0" fontId="34" fillId="0" borderId="0" xfId="70" applyNumberFormat="1" applyFont="1">
      <alignment vertical="center"/>
    </xf>
    <xf numFmtId="178" fontId="34" fillId="0" borderId="0" xfId="70" applyNumberFormat="1" applyFont="1">
      <alignment vertical="center"/>
    </xf>
    <xf numFmtId="178" fontId="35" fillId="0" borderId="0" xfId="70" applyNumberFormat="1" applyFont="1" applyFill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>
      <alignment vertical="center"/>
    </xf>
    <xf numFmtId="0" fontId="34" fillId="27" borderId="23" xfId="0" applyNumberFormat="1" applyFont="1" applyFill="1" applyBorder="1" applyAlignment="1" applyProtection="1">
      <alignment horizontal="center" vertical="center"/>
    </xf>
    <xf numFmtId="0" fontId="34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Border="1" applyAlignment="1" applyProtection="1">
      <alignment horizontal="center" vertical="center"/>
    </xf>
    <xf numFmtId="0" fontId="34" fillId="27" borderId="23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Alignment="1">
      <alignment horizontal="center" vertical="center"/>
    </xf>
    <xf numFmtId="49" fontId="34" fillId="0" borderId="0" xfId="0" applyNumberFormat="1" applyFont="1">
      <alignment vertical="center"/>
    </xf>
    <xf numFmtId="0" fontId="36" fillId="0" borderId="0" xfId="74" applyFont="1">
      <alignment vertical="center"/>
    </xf>
    <xf numFmtId="0" fontId="36" fillId="0" borderId="0" xfId="74" applyNumberFormat="1" applyFont="1">
      <alignment vertical="center"/>
    </xf>
    <xf numFmtId="0" fontId="34" fillId="0" borderId="0" xfId="119" applyNumberFormat="1" applyFont="1">
      <alignment vertical="center"/>
    </xf>
    <xf numFmtId="0" fontId="34" fillId="0" borderId="0" xfId="119" applyNumberFormat="1" applyFont="1" applyFill="1">
      <alignment vertical="center"/>
    </xf>
    <xf numFmtId="179" fontId="34" fillId="26" borderId="7" xfId="119" applyNumberFormat="1" applyFont="1" applyFill="1" applyBorder="1" applyAlignment="1">
      <alignment horizontal="center" vertical="center"/>
    </xf>
    <xf numFmtId="41" fontId="34" fillId="0" borderId="0" xfId="1" applyFont="1">
      <alignment vertical="center"/>
    </xf>
    <xf numFmtId="41" fontId="34" fillId="0" borderId="0" xfId="119" applyNumberFormat="1" applyFont="1">
      <alignment vertical="center"/>
    </xf>
    <xf numFmtId="180" fontId="34" fillId="0" borderId="0" xfId="119" applyNumberFormat="1" applyFont="1">
      <alignment vertical="center"/>
    </xf>
    <xf numFmtId="0" fontId="34" fillId="27" borderId="23" xfId="0" applyNumberFormat="1" applyFont="1" applyFill="1" applyBorder="1" applyAlignment="1" applyProtection="1">
      <alignment horizontal="center" vertical="center" shrinkToFit="1"/>
    </xf>
    <xf numFmtId="0" fontId="34" fillId="0" borderId="23" xfId="0" applyNumberFormat="1" applyFont="1" applyFill="1" applyBorder="1" applyAlignment="1" applyProtection="1">
      <alignment horizontal="center" vertical="center"/>
    </xf>
    <xf numFmtId="0" fontId="34" fillId="0" borderId="23" xfId="0" applyNumberFormat="1" applyFont="1" applyFill="1" applyBorder="1" applyAlignment="1" applyProtection="1">
      <alignment vertical="center"/>
    </xf>
    <xf numFmtId="0" fontId="34" fillId="27" borderId="23" xfId="0" quotePrefix="1" applyNumberFormat="1" applyFont="1" applyFill="1" applyBorder="1" applyAlignment="1" applyProtection="1">
      <alignment horizontal="center" vertical="center"/>
    </xf>
    <xf numFmtId="41" fontId="34" fillId="0" borderId="23" xfId="0" applyNumberFormat="1" applyFont="1" applyFill="1" applyBorder="1" applyAlignment="1" applyProtection="1">
      <alignment horizontal="right" vertical="center"/>
    </xf>
    <xf numFmtId="0" fontId="34" fillId="0" borderId="29" xfId="0" applyNumberFormat="1" applyFont="1" applyFill="1" applyBorder="1" applyAlignment="1" applyProtection="1">
      <alignment vertical="center"/>
    </xf>
    <xf numFmtId="0" fontId="34" fillId="0" borderId="29" xfId="0" applyNumberFormat="1" applyFont="1" applyFill="1" applyBorder="1">
      <alignment vertical="center"/>
    </xf>
    <xf numFmtId="0" fontId="34" fillId="0" borderId="2" xfId="0" applyNumberFormat="1" applyFont="1" applyFill="1" applyBorder="1" applyAlignment="1" applyProtection="1">
      <alignment vertical="center"/>
    </xf>
    <xf numFmtId="0" fontId="34" fillId="0" borderId="1" xfId="0" applyNumberFormat="1" applyFont="1" applyBorder="1">
      <alignment vertical="center"/>
    </xf>
    <xf numFmtId="0" fontId="34" fillId="0" borderId="0" xfId="119" applyNumberFormat="1" applyFont="1" applyAlignment="1">
      <alignment horizontal="center" vertical="center"/>
    </xf>
    <xf numFmtId="187" fontId="37" fillId="25" borderId="1" xfId="119" applyNumberFormat="1" applyFont="1" applyFill="1" applyBorder="1" applyAlignment="1">
      <alignment horizontal="center" vertical="center"/>
    </xf>
    <xf numFmtId="187" fontId="37" fillId="25" borderId="31" xfId="119" applyNumberFormat="1" applyFont="1" applyFill="1" applyBorder="1" applyAlignment="1">
      <alignment horizontal="center" vertical="center"/>
    </xf>
    <xf numFmtId="178" fontId="34" fillId="0" borderId="32" xfId="119" applyNumberFormat="1" applyFont="1" applyBorder="1" applyAlignment="1">
      <alignment horizontal="center" vertical="center"/>
    </xf>
    <xf numFmtId="178" fontId="34" fillId="0" borderId="1" xfId="1" applyNumberFormat="1" applyFont="1" applyBorder="1" applyAlignment="1">
      <alignment horizontal="right" vertical="center"/>
    </xf>
    <xf numFmtId="178" fontId="34" fillId="0" borderId="31" xfId="119" applyNumberFormat="1" applyFont="1" applyBorder="1" applyAlignment="1">
      <alignment horizontal="right" vertical="center"/>
    </xf>
    <xf numFmtId="178" fontId="34" fillId="0" borderId="1" xfId="119" applyNumberFormat="1" applyFont="1" applyBorder="1" applyAlignment="1">
      <alignment horizontal="right" vertical="center"/>
    </xf>
    <xf numFmtId="0" fontId="34" fillId="0" borderId="6" xfId="119" applyNumberFormat="1" applyFont="1" applyBorder="1" applyAlignment="1">
      <alignment horizontal="center" vertical="center"/>
    </xf>
    <xf numFmtId="178" fontId="34" fillId="0" borderId="7" xfId="119" applyNumberFormat="1" applyFont="1" applyBorder="1" applyAlignment="1">
      <alignment horizontal="right" vertical="center"/>
    </xf>
    <xf numFmtId="178" fontId="34" fillId="0" borderId="8" xfId="119" applyNumberFormat="1" applyFont="1" applyBorder="1" applyAlignment="1">
      <alignment horizontal="right" vertical="center"/>
    </xf>
    <xf numFmtId="0" fontId="34" fillId="27" borderId="23" xfId="0" applyNumberFormat="1" applyFont="1" applyFill="1" applyBorder="1" applyAlignment="1" applyProtection="1">
      <alignment horizontal="center" vertical="center" wrapText="1"/>
    </xf>
    <xf numFmtId="0" fontId="34" fillId="27" borderId="23" xfId="0" applyNumberFormat="1" applyFont="1" applyFill="1" applyBorder="1" applyAlignment="1" applyProtection="1">
      <alignment horizontal="center" vertical="center"/>
    </xf>
    <xf numFmtId="0" fontId="36" fillId="0" borderId="4" xfId="119" applyNumberFormat="1" applyFont="1" applyBorder="1" applyAlignment="1">
      <alignment horizontal="center" vertical="center"/>
    </xf>
    <xf numFmtId="0" fontId="36" fillId="0" borderId="5" xfId="119" applyNumberFormat="1" applyFont="1" applyBorder="1" applyAlignment="1">
      <alignment horizontal="center" vertical="center"/>
    </xf>
    <xf numFmtId="180" fontId="36" fillId="0" borderId="1" xfId="119" applyNumberFormat="1" applyFont="1" applyBorder="1">
      <alignment vertical="center"/>
    </xf>
    <xf numFmtId="186" fontId="36" fillId="0" borderId="1" xfId="119" applyNumberFormat="1" applyFont="1" applyBorder="1">
      <alignment vertical="center"/>
    </xf>
    <xf numFmtId="180" fontId="36" fillId="0" borderId="31" xfId="119" applyNumberFormat="1" applyFont="1" applyBorder="1">
      <alignment vertical="center"/>
    </xf>
    <xf numFmtId="180" fontId="36" fillId="0" borderId="7" xfId="119" applyNumberFormat="1" applyFont="1" applyBorder="1">
      <alignment vertical="center"/>
    </xf>
    <xf numFmtId="186" fontId="36" fillId="0" borderId="7" xfId="119" applyNumberFormat="1" applyFont="1" applyBorder="1">
      <alignment vertical="center"/>
    </xf>
    <xf numFmtId="180" fontId="36" fillId="0" borderId="8" xfId="119" applyNumberFormat="1" applyFont="1" applyBorder="1">
      <alignment vertical="center"/>
    </xf>
    <xf numFmtId="179" fontId="36" fillId="26" borderId="7" xfId="119" applyNumberFormat="1" applyFont="1" applyFill="1" applyBorder="1" applyAlignment="1">
      <alignment horizontal="center" vertical="center"/>
    </xf>
    <xf numFmtId="179" fontId="36" fillId="0" borderId="3" xfId="119" applyNumberFormat="1" applyFont="1" applyFill="1" applyBorder="1" applyAlignment="1">
      <alignment horizontal="center" vertical="center"/>
    </xf>
    <xf numFmtId="179" fontId="36" fillId="0" borderId="19" xfId="119" applyNumberFormat="1" applyFont="1" applyFill="1" applyBorder="1" applyAlignment="1">
      <alignment horizontal="center" vertical="center"/>
    </xf>
    <xf numFmtId="179" fontId="36" fillId="0" borderId="22" xfId="119" applyNumberFormat="1" applyFont="1" applyFill="1" applyBorder="1" applyAlignment="1">
      <alignment horizontal="center" vertical="center"/>
    </xf>
    <xf numFmtId="41" fontId="39" fillId="0" borderId="23" xfId="0" applyNumberFormat="1" applyFont="1" applyFill="1" applyBorder="1" applyAlignment="1" applyProtection="1">
      <alignment horizontal="right" vertical="center"/>
    </xf>
    <xf numFmtId="41" fontId="35" fillId="0" borderId="23" xfId="70" applyNumberFormat="1" applyFont="1" applyFill="1" applyBorder="1">
      <alignment vertical="center"/>
    </xf>
    <xf numFmtId="41" fontId="34" fillId="0" borderId="0" xfId="0" applyNumberFormat="1" applyFont="1">
      <alignment vertical="center"/>
    </xf>
    <xf numFmtId="0" fontId="34" fillId="0" borderId="36" xfId="0" applyNumberFormat="1" applyFont="1" applyFill="1" applyBorder="1" applyAlignment="1" applyProtection="1">
      <alignment horizontal="center" vertical="center"/>
    </xf>
    <xf numFmtId="0" fontId="34" fillId="0" borderId="29" xfId="0" applyNumberFormat="1" applyFont="1" applyBorder="1">
      <alignment vertical="center"/>
    </xf>
    <xf numFmtId="41" fontId="34" fillId="0" borderId="23" xfId="1" applyFont="1" applyBorder="1">
      <alignment vertical="center"/>
    </xf>
    <xf numFmtId="0" fontId="34" fillId="0" borderId="23" xfId="0" applyNumberFormat="1" applyFont="1" applyFill="1" applyBorder="1" applyAlignment="1">
      <alignment horizontal="center" vertical="center"/>
    </xf>
    <xf numFmtId="178" fontId="34" fillId="0" borderId="23" xfId="1" applyNumberFormat="1" applyFont="1" applyBorder="1" applyAlignment="1">
      <alignment horizontal="center" vertical="center"/>
    </xf>
    <xf numFmtId="178" fontId="34" fillId="0" borderId="23" xfId="0" applyNumberFormat="1" applyFont="1" applyFill="1" applyBorder="1" applyAlignment="1">
      <alignment horizontal="center" vertical="center"/>
    </xf>
    <xf numFmtId="0" fontId="38" fillId="31" borderId="23" xfId="70" applyNumberFormat="1" applyFont="1" applyFill="1" applyBorder="1">
      <alignment vertical="center"/>
    </xf>
    <xf numFmtId="41" fontId="34" fillId="0" borderId="23" xfId="70" applyNumberFormat="1" applyFont="1" applyBorder="1">
      <alignment vertical="center"/>
    </xf>
    <xf numFmtId="41" fontId="2" fillId="0" borderId="23" xfId="1" applyNumberFormat="1" applyFont="1" applyBorder="1">
      <alignment vertical="center"/>
    </xf>
    <xf numFmtId="41" fontId="34" fillId="34" borderId="23" xfId="70" applyNumberFormat="1" applyFont="1" applyFill="1" applyBorder="1">
      <alignment vertical="center"/>
    </xf>
    <xf numFmtId="41" fontId="34" fillId="0" borderId="0" xfId="1" applyNumberFormat="1" applyFont="1" applyFill="1" applyBorder="1" applyAlignment="1" applyProtection="1">
      <alignment horizontal="right" vertical="center"/>
    </xf>
    <xf numFmtId="0" fontId="0" fillId="0" borderId="0" xfId="0" applyNumberFormat="1" applyAlignment="1">
      <alignment horizontal="center" vertical="center"/>
    </xf>
    <xf numFmtId="0" fontId="38" fillId="31" borderId="34" xfId="70" applyNumberFormat="1" applyFont="1" applyFill="1" applyBorder="1">
      <alignment vertical="center"/>
    </xf>
    <xf numFmtId="41" fontId="34" fillId="0" borderId="34" xfId="70" applyNumberFormat="1" applyFont="1" applyBorder="1">
      <alignment vertical="center"/>
    </xf>
    <xf numFmtId="0" fontId="36" fillId="27" borderId="24" xfId="121" applyFont="1" applyFill="1" applyBorder="1" applyAlignment="1" applyProtection="1">
      <alignment horizontal="center" vertical="center" shrinkToFit="1"/>
    </xf>
    <xf numFmtId="179" fontId="36" fillId="27" borderId="24" xfId="121" applyNumberFormat="1" applyFont="1" applyFill="1" applyBorder="1" applyAlignment="1" applyProtection="1">
      <alignment horizontal="center" vertical="center" shrinkToFit="1"/>
    </xf>
    <xf numFmtId="0" fontId="34" fillId="0" borderId="39" xfId="4" applyFont="1" applyFill="1" applyBorder="1" applyAlignment="1" applyProtection="1">
      <alignment horizontal="center" vertical="center" shrinkToFit="1"/>
    </xf>
    <xf numFmtId="41" fontId="34" fillId="0" borderId="39" xfId="1" applyNumberFormat="1" applyFont="1" applyFill="1" applyBorder="1" applyAlignment="1" applyProtection="1">
      <alignment horizontal="right" vertical="center"/>
    </xf>
    <xf numFmtId="41" fontId="36" fillId="0" borderId="39" xfId="1" applyNumberFormat="1" applyFont="1" applyFill="1" applyBorder="1" applyAlignment="1" applyProtection="1">
      <alignment horizontal="right" vertical="center"/>
    </xf>
    <xf numFmtId="41" fontId="36" fillId="0" borderId="39" xfId="0" applyNumberFormat="1" applyFont="1" applyFill="1" applyBorder="1" applyAlignment="1" applyProtection="1">
      <alignment horizontal="right" vertical="center"/>
    </xf>
    <xf numFmtId="41" fontId="34" fillId="0" borderId="39" xfId="0" applyNumberFormat="1" applyFont="1" applyFill="1" applyBorder="1" applyAlignment="1" applyProtection="1">
      <alignment horizontal="right" vertical="center"/>
    </xf>
    <xf numFmtId="0" fontId="34" fillId="0" borderId="40" xfId="4" applyFont="1" applyFill="1" applyBorder="1" applyAlignment="1" applyProtection="1">
      <alignment horizontal="center" vertical="center" shrinkToFit="1"/>
    </xf>
    <xf numFmtId="41" fontId="34" fillId="0" borderId="40" xfId="1" applyNumberFormat="1" applyFont="1" applyFill="1" applyBorder="1" applyAlignment="1" applyProtection="1">
      <alignment horizontal="right" vertical="center"/>
    </xf>
    <xf numFmtId="41" fontId="36" fillId="0" borderId="40" xfId="0" applyNumberFormat="1" applyFont="1" applyFill="1" applyBorder="1" applyAlignment="1" applyProtection="1">
      <alignment horizontal="right" vertical="center"/>
    </xf>
    <xf numFmtId="41" fontId="34" fillId="0" borderId="40" xfId="0" applyNumberFormat="1" applyFont="1" applyFill="1" applyBorder="1" applyAlignment="1" applyProtection="1">
      <alignment horizontal="right" vertical="center"/>
    </xf>
    <xf numFmtId="0" fontId="34" fillId="0" borderId="41" xfId="4" applyFont="1" applyFill="1" applyBorder="1" applyAlignment="1" applyProtection="1">
      <alignment horizontal="center" vertical="center" shrinkToFit="1"/>
    </xf>
    <xf numFmtId="41" fontId="34" fillId="0" borderId="41" xfId="1" applyNumberFormat="1" applyFont="1" applyFill="1" applyBorder="1" applyAlignment="1" applyProtection="1">
      <alignment horizontal="right" vertical="center"/>
    </xf>
    <xf numFmtId="41" fontId="34" fillId="0" borderId="41" xfId="0" applyNumberFormat="1" applyFont="1" applyFill="1" applyBorder="1" applyAlignment="1" applyProtection="1">
      <alignment horizontal="right" vertical="center"/>
    </xf>
    <xf numFmtId="41" fontId="34" fillId="0" borderId="39" xfId="5" applyNumberFormat="1" applyFont="1" applyFill="1" applyBorder="1" applyAlignment="1" applyProtection="1">
      <alignment horizontal="right" vertical="center"/>
    </xf>
    <xf numFmtId="41" fontId="34" fillId="0" borderId="40" xfId="5" applyNumberFormat="1" applyFont="1" applyFill="1" applyBorder="1" applyAlignment="1" applyProtection="1">
      <alignment horizontal="right" vertical="center"/>
    </xf>
    <xf numFmtId="41" fontId="34" fillId="0" borderId="41" xfId="5" applyNumberFormat="1" applyFont="1" applyFill="1" applyBorder="1" applyAlignment="1" applyProtection="1">
      <alignment horizontal="right" vertical="center"/>
    </xf>
    <xf numFmtId="41" fontId="34" fillId="0" borderId="40" xfId="0" applyNumberFormat="1" applyFont="1" applyFill="1" applyBorder="1" applyAlignment="1">
      <alignment horizontal="right" vertical="center"/>
    </xf>
    <xf numFmtId="41" fontId="39" fillId="0" borderId="39" xfId="0" applyNumberFormat="1" applyFont="1" applyFill="1" applyBorder="1" applyAlignment="1" applyProtection="1">
      <alignment horizontal="right" vertical="center"/>
    </xf>
    <xf numFmtId="41" fontId="39" fillId="0" borderId="40" xfId="0" applyNumberFormat="1" applyFont="1" applyFill="1" applyBorder="1" applyAlignment="1" applyProtection="1">
      <alignment horizontal="right" vertical="center"/>
    </xf>
    <xf numFmtId="41" fontId="39" fillId="0" borderId="41" xfId="0" applyNumberFormat="1" applyFont="1" applyFill="1" applyBorder="1" applyAlignment="1" applyProtection="1">
      <alignment horizontal="right" vertical="center"/>
    </xf>
    <xf numFmtId="49" fontId="34" fillId="0" borderId="36" xfId="0" applyNumberFormat="1" applyFont="1" applyFill="1" applyBorder="1" applyAlignment="1" applyProtection="1">
      <alignment vertical="center"/>
    </xf>
    <xf numFmtId="49" fontId="34" fillId="0" borderId="29" xfId="0" applyNumberFormat="1" applyFont="1" applyFill="1" applyBorder="1" applyAlignment="1" applyProtection="1">
      <alignment vertical="center"/>
    </xf>
    <xf numFmtId="49" fontId="34" fillId="0" borderId="29" xfId="0" applyNumberFormat="1" applyFont="1" applyFill="1" applyBorder="1" applyAlignment="1" applyProtection="1">
      <alignment vertical="center" wrapText="1"/>
    </xf>
    <xf numFmtId="49" fontId="34" fillId="0" borderId="29" xfId="0" quotePrefix="1" applyNumberFormat="1" applyFont="1" applyFill="1" applyBorder="1" applyAlignment="1" applyProtection="1">
      <alignment vertical="center"/>
    </xf>
    <xf numFmtId="49" fontId="34" fillId="0" borderId="2" xfId="0" applyNumberFormat="1" applyFont="1" applyFill="1" applyBorder="1" applyAlignment="1" applyProtection="1">
      <alignment vertical="center"/>
    </xf>
    <xf numFmtId="0" fontId="45" fillId="26" borderId="3" xfId="121" applyFont="1" applyFill="1" applyBorder="1" applyAlignment="1" applyProtection="1">
      <alignment horizontal="center" vertical="center"/>
    </xf>
    <xf numFmtId="0" fontId="45" fillId="26" borderId="4" xfId="0" applyNumberFormat="1" applyFont="1" applyFill="1" applyBorder="1" applyAlignment="1">
      <alignment horizontal="center" vertical="center"/>
    </xf>
    <xf numFmtId="0" fontId="45" fillId="26" borderId="5" xfId="0" applyNumberFormat="1" applyFont="1" applyFill="1" applyBorder="1" applyAlignment="1">
      <alignment horizontal="center" vertical="center"/>
    </xf>
    <xf numFmtId="0" fontId="47" fillId="30" borderId="23" xfId="121" applyFont="1" applyFill="1" applyBorder="1" applyAlignment="1" applyProtection="1">
      <alignment horizontal="center" vertical="center"/>
    </xf>
    <xf numFmtId="180" fontId="47" fillId="0" borderId="23" xfId="71" applyNumberFormat="1" applyFont="1" applyFill="1" applyBorder="1" applyAlignment="1" applyProtection="1">
      <alignment horizontal="right" vertical="center" indent="2"/>
    </xf>
    <xf numFmtId="178" fontId="45" fillId="0" borderId="8" xfId="0" applyNumberFormat="1" applyFont="1" applyBorder="1" applyAlignment="1">
      <alignment horizontal="right" vertical="center" indent="3"/>
    </xf>
    <xf numFmtId="0" fontId="39" fillId="0" borderId="0" xfId="0" applyNumberFormat="1" applyFont="1" applyFill="1" applyAlignment="1">
      <alignment horizontal="center" vertical="center"/>
    </xf>
    <xf numFmtId="0" fontId="36" fillId="34" borderId="42" xfId="0" applyNumberFormat="1" applyFont="1" applyFill="1" applyBorder="1" applyAlignment="1">
      <alignment horizontal="center" vertical="center"/>
    </xf>
    <xf numFmtId="0" fontId="36" fillId="32" borderId="48" xfId="4" applyNumberFormat="1" applyFont="1" applyFill="1" applyBorder="1" applyAlignment="1">
      <alignment horizontal="center" vertical="center" shrinkToFit="1"/>
    </xf>
    <xf numFmtId="0" fontId="36" fillId="32" borderId="49" xfId="4" applyNumberFormat="1" applyFont="1" applyFill="1" applyBorder="1" applyAlignment="1">
      <alignment horizontal="center" vertical="center" shrinkToFit="1"/>
    </xf>
    <xf numFmtId="0" fontId="36" fillId="32" borderId="49" xfId="4" applyNumberFormat="1" applyFont="1" applyFill="1" applyBorder="1" applyAlignment="1">
      <alignment horizontal="center" vertical="center" wrapText="1"/>
    </xf>
    <xf numFmtId="0" fontId="36" fillId="32" borderId="50" xfId="4" applyNumberFormat="1" applyFont="1" applyFill="1" applyBorder="1" applyAlignment="1">
      <alignment horizontal="center" vertical="center" wrapText="1"/>
    </xf>
    <xf numFmtId="0" fontId="40" fillId="33" borderId="45" xfId="4" applyNumberFormat="1" applyFont="1" applyFill="1" applyBorder="1" applyAlignment="1">
      <alignment horizontal="center" vertical="center" wrapText="1"/>
    </xf>
    <xf numFmtId="0" fontId="40" fillId="34" borderId="23" xfId="4" applyNumberFormat="1" applyFont="1" applyFill="1" applyBorder="1" applyAlignment="1">
      <alignment horizontal="center" vertical="center" wrapText="1"/>
    </xf>
    <xf numFmtId="0" fontId="40" fillId="30" borderId="43" xfId="4" applyNumberFormat="1" applyFont="1" applyFill="1" applyBorder="1" applyAlignment="1" applyProtection="1">
      <alignment horizontal="center" vertical="center" shrinkToFit="1"/>
    </xf>
    <xf numFmtId="41" fontId="36" fillId="30" borderId="51" xfId="6" applyNumberFormat="1" applyFont="1" applyFill="1" applyBorder="1" applyAlignment="1" applyProtection="1">
      <alignment horizontal="center" vertical="center"/>
    </xf>
    <xf numFmtId="41" fontId="36" fillId="30" borderId="44" xfId="6" applyNumberFormat="1" applyFont="1" applyFill="1" applyBorder="1" applyAlignment="1" applyProtection="1">
      <alignment horizontal="center" vertical="center"/>
    </xf>
    <xf numFmtId="41" fontId="36" fillId="30" borderId="52" xfId="6" applyNumberFormat="1" applyFont="1" applyFill="1" applyBorder="1" applyAlignment="1" applyProtection="1">
      <alignment horizontal="center" vertical="center"/>
    </xf>
    <xf numFmtId="41" fontId="36" fillId="0" borderId="39" xfId="6" applyNumberFormat="1" applyFont="1" applyFill="1" applyBorder="1" applyAlignment="1" applyProtection="1">
      <alignment horizontal="center" vertical="center"/>
    </xf>
    <xf numFmtId="178" fontId="36" fillId="0" borderId="39" xfId="74" applyNumberFormat="1" applyFont="1" applyFill="1" applyBorder="1" applyAlignment="1">
      <alignment horizontal="right" vertical="center"/>
    </xf>
    <xf numFmtId="0" fontId="48" fillId="30" borderId="46" xfId="4" applyNumberFormat="1" applyFont="1" applyFill="1" applyBorder="1" applyAlignment="1" applyProtection="1">
      <alignment horizontal="center" vertical="center" shrinkToFit="1"/>
    </xf>
    <xf numFmtId="41" fontId="49" fillId="30" borderId="53" xfId="6" applyNumberFormat="1" applyFont="1" applyFill="1" applyBorder="1" applyAlignment="1" applyProtection="1">
      <alignment horizontal="center" vertical="center"/>
    </xf>
    <xf numFmtId="41" fontId="49" fillId="30" borderId="38" xfId="6" applyNumberFormat="1" applyFont="1" applyFill="1" applyBorder="1" applyAlignment="1" applyProtection="1">
      <alignment horizontal="center" vertical="center"/>
    </xf>
    <xf numFmtId="41" fontId="49" fillId="30" borderId="54" xfId="6" applyNumberFormat="1" applyFont="1" applyFill="1" applyBorder="1" applyAlignment="1" applyProtection="1">
      <alignment horizontal="center" vertical="center"/>
    </xf>
    <xf numFmtId="41" fontId="49" fillId="0" borderId="40" xfId="6" applyNumberFormat="1" applyFont="1" applyFill="1" applyBorder="1" applyAlignment="1" applyProtection="1">
      <alignment horizontal="center" vertical="center"/>
    </xf>
    <xf numFmtId="178" fontId="36" fillId="0" borderId="40" xfId="74" applyNumberFormat="1" applyFont="1" applyBorder="1" applyAlignment="1">
      <alignment horizontal="right" vertical="center"/>
    </xf>
    <xf numFmtId="0" fontId="48" fillId="0" borderId="46" xfId="4" applyNumberFormat="1" applyFont="1" applyFill="1" applyBorder="1" applyAlignment="1" applyProtection="1">
      <alignment horizontal="center" vertical="center" shrinkToFit="1"/>
    </xf>
    <xf numFmtId="0" fontId="48" fillId="0" borderId="47" xfId="4" applyNumberFormat="1" applyFont="1" applyFill="1" applyBorder="1" applyAlignment="1" applyProtection="1">
      <alignment horizontal="center" vertical="center" shrinkToFit="1"/>
    </xf>
    <xf numFmtId="41" fontId="49" fillId="30" borderId="55" xfId="6" applyNumberFormat="1" applyFont="1" applyFill="1" applyBorder="1" applyAlignment="1" applyProtection="1">
      <alignment horizontal="center" vertical="center"/>
    </xf>
    <xf numFmtId="41" fontId="49" fillId="30" borderId="56" xfId="6" applyNumberFormat="1" applyFont="1" applyFill="1" applyBorder="1" applyAlignment="1" applyProtection="1">
      <alignment horizontal="center" vertical="center"/>
    </xf>
    <xf numFmtId="41" fontId="49" fillId="30" borderId="57" xfId="6" applyNumberFormat="1" applyFont="1" applyFill="1" applyBorder="1" applyAlignment="1" applyProtection="1">
      <alignment horizontal="center" vertical="center"/>
    </xf>
    <xf numFmtId="41" fontId="49" fillId="0" borderId="41" xfId="6" applyNumberFormat="1" applyFont="1" applyFill="1" applyBorder="1" applyAlignment="1" applyProtection="1">
      <alignment horizontal="center" vertical="center"/>
    </xf>
    <xf numFmtId="178" fontId="36" fillId="0" borderId="41" xfId="74" applyNumberFormat="1" applyFont="1" applyBorder="1" applyAlignment="1">
      <alignment horizontal="right" vertical="center"/>
    </xf>
    <xf numFmtId="0" fontId="36" fillId="26" borderId="23" xfId="0" quotePrefix="1" applyNumberFormat="1" applyFont="1" applyFill="1" applyBorder="1" applyAlignment="1">
      <alignment horizontal="center" vertical="center" wrapText="1" shrinkToFit="1"/>
    </xf>
    <xf numFmtId="0" fontId="36" fillId="26" borderId="23" xfId="0" applyNumberFormat="1" applyFont="1" applyFill="1" applyBorder="1" applyAlignment="1">
      <alignment horizontal="center" vertical="center"/>
    </xf>
    <xf numFmtId="0" fontId="36" fillId="0" borderId="23" xfId="0" applyNumberFormat="1" applyFont="1" applyFill="1" applyBorder="1" applyAlignment="1" applyProtection="1">
      <alignment horizontal="center" vertical="center"/>
    </xf>
    <xf numFmtId="41" fontId="36" fillId="0" borderId="2" xfId="0" applyNumberFormat="1" applyFont="1" applyFill="1" applyBorder="1" applyAlignment="1">
      <alignment horizontal="center" vertical="center"/>
    </xf>
    <xf numFmtId="0" fontId="36" fillId="0" borderId="39" xfId="4" applyFont="1" applyFill="1" applyBorder="1" applyAlignment="1" applyProtection="1">
      <alignment horizontal="center" vertical="center" shrinkToFit="1"/>
    </xf>
    <xf numFmtId="41" fontId="36" fillId="0" borderId="39" xfId="0" applyNumberFormat="1" applyFont="1" applyBorder="1">
      <alignment vertical="center"/>
    </xf>
    <xf numFmtId="186" fontId="49" fillId="0" borderId="39" xfId="68" applyNumberFormat="1" applyFont="1" applyFill="1" applyBorder="1" applyAlignment="1">
      <alignment vertical="center"/>
    </xf>
    <xf numFmtId="180" fontId="49" fillId="0" borderId="39" xfId="68" applyNumberFormat="1" applyFont="1" applyFill="1" applyBorder="1" applyAlignment="1">
      <alignment vertical="center"/>
    </xf>
    <xf numFmtId="0" fontId="36" fillId="0" borderId="40" xfId="4" applyFont="1" applyFill="1" applyBorder="1" applyAlignment="1" applyProtection="1">
      <alignment horizontal="center" vertical="center" shrinkToFit="1"/>
    </xf>
    <xf numFmtId="41" fontId="36" fillId="0" borderId="40" xfId="0" applyNumberFormat="1" applyFont="1" applyBorder="1">
      <alignment vertical="center"/>
    </xf>
    <xf numFmtId="186" fontId="49" fillId="0" borderId="40" xfId="68" applyNumberFormat="1" applyFont="1" applyFill="1" applyBorder="1" applyAlignment="1">
      <alignment vertical="center"/>
    </xf>
    <xf numFmtId="0" fontId="36" fillId="0" borderId="41" xfId="4" applyFont="1" applyFill="1" applyBorder="1" applyAlignment="1" applyProtection="1">
      <alignment horizontal="center" vertical="center" shrinkToFit="1"/>
    </xf>
    <xf numFmtId="41" fontId="36" fillId="0" borderId="41" xfId="0" applyNumberFormat="1" applyFont="1" applyBorder="1">
      <alignment vertical="center"/>
    </xf>
    <xf numFmtId="186" fontId="49" fillId="0" borderId="41" xfId="68" applyNumberFormat="1" applyFont="1" applyFill="1" applyBorder="1" applyAlignment="1">
      <alignment vertical="center"/>
    </xf>
    <xf numFmtId="0" fontId="34" fillId="0" borderId="36" xfId="0" applyNumberFormat="1" applyFont="1" applyFill="1" applyBorder="1" applyAlignment="1" applyProtection="1">
      <alignment horizontal="left" vertical="center"/>
    </xf>
    <xf numFmtId="0" fontId="34" fillId="0" borderId="68" xfId="0" applyNumberFormat="1" applyFont="1" applyFill="1" applyBorder="1">
      <alignment vertical="center"/>
    </xf>
    <xf numFmtId="0" fontId="34" fillId="27" borderId="23" xfId="0" applyNumberFormat="1" applyFont="1" applyFill="1" applyBorder="1" applyAlignment="1" applyProtection="1">
      <alignment horizontal="center" vertical="center"/>
    </xf>
    <xf numFmtId="0" fontId="36" fillId="0" borderId="0" xfId="122" applyFont="1">
      <alignment vertical="center"/>
    </xf>
    <xf numFmtId="41" fontId="36" fillId="0" borderId="0" xfId="122" applyNumberFormat="1" applyFont="1">
      <alignment vertical="center"/>
    </xf>
    <xf numFmtId="0" fontId="36" fillId="0" borderId="0" xfId="121" applyFont="1" applyFill="1" applyBorder="1" applyAlignment="1">
      <alignment horizontal="right"/>
    </xf>
    <xf numFmtId="178" fontId="36" fillId="0" borderId="23" xfId="70" applyNumberFormat="1" applyFont="1" applyFill="1" applyBorder="1" applyAlignment="1">
      <alignment horizontal="center" vertical="center"/>
    </xf>
    <xf numFmtId="41" fontId="36" fillId="0" borderId="23" xfId="70" applyNumberFormat="1" applyFont="1" applyFill="1" applyBorder="1">
      <alignment vertical="center"/>
    </xf>
    <xf numFmtId="41" fontId="36" fillId="0" borderId="23" xfId="123" applyNumberFormat="1" applyFont="1" applyFill="1" applyBorder="1" applyProtection="1">
      <alignment vertical="center"/>
    </xf>
    <xf numFmtId="41" fontId="36" fillId="0" borderId="23" xfId="71" applyNumberFormat="1" applyFont="1" applyFill="1" applyBorder="1" applyAlignment="1" applyProtection="1">
      <alignment horizontal="center" vertical="center"/>
    </xf>
    <xf numFmtId="0" fontId="36" fillId="0" borderId="23" xfId="70" applyNumberFormat="1" applyFont="1" applyBorder="1" applyAlignment="1">
      <alignment horizontal="center" vertical="center"/>
    </xf>
    <xf numFmtId="41" fontId="36" fillId="0" borderId="23" xfId="70" applyNumberFormat="1" applyFont="1" applyBorder="1">
      <alignment vertical="center"/>
    </xf>
    <xf numFmtId="0" fontId="36" fillId="0" borderId="23" xfId="70" applyNumberFormat="1" applyFont="1" applyFill="1" applyBorder="1" applyAlignment="1">
      <alignment horizontal="center" vertical="center"/>
    </xf>
    <xf numFmtId="0" fontId="50" fillId="0" borderId="3" xfId="121" applyFont="1" applyFill="1" applyBorder="1" applyAlignment="1" applyProtection="1">
      <alignment horizontal="center" vertical="center"/>
    </xf>
    <xf numFmtId="41" fontId="50" fillId="0" borderId="4" xfId="71" applyNumberFormat="1" applyFont="1" applyFill="1" applyBorder="1" applyAlignment="1" applyProtection="1">
      <alignment horizontal="center" vertical="center"/>
    </xf>
    <xf numFmtId="41" fontId="50" fillId="0" borderId="5" xfId="71" applyNumberFormat="1" applyFont="1" applyFill="1" applyBorder="1" applyAlignment="1" applyProtection="1">
      <alignment horizontal="center" vertical="center"/>
    </xf>
    <xf numFmtId="0" fontId="39" fillId="0" borderId="64" xfId="4" applyFont="1" applyFill="1" applyBorder="1" applyAlignment="1" applyProtection="1">
      <alignment horizontal="center" vertical="center" shrinkToFit="1"/>
    </xf>
    <xf numFmtId="41" fontId="39" fillId="0" borderId="65" xfId="71" applyNumberFormat="1" applyFont="1" applyFill="1" applyBorder="1" applyAlignment="1" applyProtection="1">
      <alignment vertical="center"/>
    </xf>
    <xf numFmtId="41" fontId="39" fillId="0" borderId="65" xfId="71" applyNumberFormat="1" applyFont="1" applyFill="1" applyBorder="1" applyAlignment="1" applyProtection="1">
      <alignment horizontal="center" vertical="center"/>
    </xf>
    <xf numFmtId="41" fontId="39" fillId="0" borderId="65" xfId="123" applyNumberFormat="1" applyFont="1" applyFill="1" applyBorder="1" applyAlignment="1" applyProtection="1">
      <alignment vertical="center"/>
    </xf>
    <xf numFmtId="41" fontId="39" fillId="0" borderId="65" xfId="123" applyNumberFormat="1" applyFont="1" applyFill="1" applyBorder="1" applyProtection="1">
      <alignment vertical="center"/>
    </xf>
    <xf numFmtId="41" fontId="39" fillId="0" borderId="66" xfId="71" applyNumberFormat="1" applyFont="1" applyFill="1" applyBorder="1" applyAlignment="1" applyProtection="1">
      <alignment horizontal="center" vertical="center"/>
    </xf>
    <xf numFmtId="0" fontId="39" fillId="0" borderId="59" xfId="4" applyFont="1" applyFill="1" applyBorder="1" applyAlignment="1" applyProtection="1">
      <alignment horizontal="center" vertical="center" shrinkToFit="1"/>
    </xf>
    <xf numFmtId="41" fontId="39" fillId="0" borderId="40" xfId="71" applyNumberFormat="1" applyFont="1" applyFill="1" applyBorder="1" applyAlignment="1" applyProtection="1">
      <alignment vertical="center"/>
    </xf>
    <xf numFmtId="41" fontId="39" fillId="0" borderId="40" xfId="71" applyNumberFormat="1" applyFont="1" applyFill="1" applyBorder="1" applyAlignment="1" applyProtection="1">
      <alignment horizontal="center" vertical="center"/>
    </xf>
    <xf numFmtId="41" fontId="39" fillId="0" borderId="40" xfId="123" applyNumberFormat="1" applyFont="1" applyFill="1" applyBorder="1" applyAlignment="1" applyProtection="1">
      <alignment vertical="center"/>
    </xf>
    <xf numFmtId="41" fontId="39" fillId="0" borderId="60" xfId="71" applyNumberFormat="1" applyFont="1" applyFill="1" applyBorder="1" applyAlignment="1" applyProtection="1">
      <alignment horizontal="center" vertical="center"/>
    </xf>
    <xf numFmtId="0" fontId="39" fillId="0" borderId="61" xfId="4" applyFont="1" applyFill="1" applyBorder="1" applyAlignment="1" applyProtection="1">
      <alignment horizontal="center" vertical="center" shrinkToFit="1"/>
    </xf>
    <xf numFmtId="41" fontId="39" fillId="0" borderId="62" xfId="71" applyNumberFormat="1" applyFont="1" applyFill="1" applyBorder="1" applyAlignment="1" applyProtection="1">
      <alignment vertical="center"/>
    </xf>
    <xf numFmtId="41" fontId="39" fillId="0" borderId="62" xfId="71" applyNumberFormat="1" applyFont="1" applyFill="1" applyBorder="1" applyAlignment="1" applyProtection="1">
      <alignment horizontal="center" vertical="center"/>
    </xf>
    <xf numFmtId="41" fontId="39" fillId="0" borderId="62" xfId="123" applyNumberFormat="1" applyFont="1" applyFill="1" applyBorder="1" applyAlignment="1" applyProtection="1">
      <alignment vertical="center"/>
    </xf>
    <xf numFmtId="41" fontId="39" fillId="0" borderId="67" xfId="123" applyNumberFormat="1" applyFont="1" applyFill="1" applyBorder="1" applyProtection="1">
      <alignment vertical="center"/>
    </xf>
    <xf numFmtId="41" fontId="39" fillId="0" borderId="63" xfId="71" applyNumberFormat="1" applyFont="1" applyFill="1" applyBorder="1" applyAlignment="1" applyProtection="1">
      <alignment horizontal="center" vertical="center"/>
    </xf>
    <xf numFmtId="41" fontId="39" fillId="0" borderId="23" xfId="70" applyNumberFormat="1" applyFont="1" applyFill="1" applyBorder="1">
      <alignment vertical="center"/>
    </xf>
    <xf numFmtId="41" fontId="39" fillId="0" borderId="23" xfId="123" applyNumberFormat="1" applyFont="1" applyFill="1" applyBorder="1" applyProtection="1">
      <alignment vertical="center"/>
    </xf>
    <xf numFmtId="178" fontId="40" fillId="0" borderId="23" xfId="70" applyNumberFormat="1" applyFont="1" applyFill="1" applyBorder="1" applyAlignment="1">
      <alignment horizontal="center" vertical="center"/>
    </xf>
    <xf numFmtId="41" fontId="40" fillId="0" borderId="23" xfId="70" applyNumberFormat="1" applyFont="1" applyFill="1" applyBorder="1">
      <alignment vertical="center"/>
    </xf>
    <xf numFmtId="0" fontId="34" fillId="0" borderId="36" xfId="0" applyNumberFormat="1" applyFont="1" applyFill="1" applyBorder="1" applyAlignment="1" applyProtection="1">
      <alignment vertical="center"/>
    </xf>
    <xf numFmtId="0" fontId="36" fillId="26" borderId="23" xfId="4" applyNumberFormat="1" applyFont="1" applyFill="1" applyBorder="1" applyAlignment="1">
      <alignment horizontal="center" vertical="center" wrapText="1"/>
    </xf>
    <xf numFmtId="41" fontId="36" fillId="33" borderId="72" xfId="6" applyNumberFormat="1" applyFont="1" applyFill="1" applyBorder="1" applyAlignment="1" applyProtection="1">
      <alignment horizontal="center" vertical="center"/>
    </xf>
    <xf numFmtId="41" fontId="49" fillId="33" borderId="73" xfId="6" applyNumberFormat="1" applyFont="1" applyFill="1" applyBorder="1" applyAlignment="1" applyProtection="1">
      <alignment horizontal="center" vertical="center"/>
    </xf>
    <xf numFmtId="41" fontId="49" fillId="33" borderId="74" xfId="6" applyNumberFormat="1" applyFont="1" applyFill="1" applyBorder="1" applyAlignment="1" applyProtection="1">
      <alignment horizontal="center" vertical="center"/>
    </xf>
    <xf numFmtId="0" fontId="52" fillId="0" borderId="0" xfId="0" applyNumberFormat="1" applyFont="1">
      <alignment vertical="center"/>
    </xf>
    <xf numFmtId="0" fontId="52" fillId="0" borderId="0" xfId="0" applyNumberFormat="1" applyFont="1" applyAlignment="1">
      <alignment horizontal="center" vertical="center"/>
    </xf>
    <xf numFmtId="0" fontId="51" fillId="0" borderId="1" xfId="127" applyFont="1" applyFill="1" applyBorder="1" applyAlignment="1">
      <alignment horizontal="center" vertical="center"/>
    </xf>
    <xf numFmtId="0" fontId="52" fillId="0" borderId="1" xfId="0" applyNumberFormat="1" applyFont="1" applyBorder="1" applyAlignment="1">
      <alignment horizontal="center" vertical="center"/>
    </xf>
    <xf numFmtId="0" fontId="53" fillId="0" borderId="1" xfId="127" applyFont="1" applyBorder="1" applyAlignment="1">
      <alignment horizontal="center" vertical="center"/>
    </xf>
    <xf numFmtId="0" fontId="51" fillId="29" borderId="1" xfId="127" applyFont="1" applyFill="1" applyBorder="1" applyAlignment="1">
      <alignment horizontal="center" vertical="center"/>
    </xf>
    <xf numFmtId="180" fontId="51" fillId="29" borderId="1" xfId="127" applyNumberFormat="1" applyFont="1" applyFill="1" applyBorder="1">
      <alignment vertical="center"/>
    </xf>
    <xf numFmtId="180" fontId="52" fillId="0" borderId="1" xfId="0" applyNumberFormat="1" applyFont="1" applyBorder="1">
      <alignment vertical="center"/>
    </xf>
    <xf numFmtId="0" fontId="34" fillId="0" borderId="0" xfId="0" applyNumberFormat="1" applyFont="1" applyBorder="1">
      <alignment vertical="center"/>
    </xf>
    <xf numFmtId="0" fontId="34" fillId="0" borderId="1" xfId="0" applyNumberFormat="1" applyFont="1" applyBorder="1" applyAlignment="1">
      <alignment horizontal="center" vertical="center"/>
    </xf>
    <xf numFmtId="0" fontId="34" fillId="28" borderId="1" xfId="0" applyNumberFormat="1" applyFont="1" applyFill="1" applyBorder="1" applyAlignment="1">
      <alignment horizontal="center" vertical="center"/>
    </xf>
    <xf numFmtId="0" fontId="34" fillId="28" borderId="1" xfId="0" applyNumberFormat="1" applyFont="1" applyFill="1" applyBorder="1" applyAlignment="1">
      <alignment horizontal="center" vertical="center" wrapText="1"/>
    </xf>
    <xf numFmtId="41" fontId="39" fillId="0" borderId="67" xfId="71" applyNumberFormat="1" applyFont="1" applyFill="1" applyBorder="1" applyAlignment="1" applyProtection="1">
      <alignment vertical="center"/>
    </xf>
    <xf numFmtId="178" fontId="36" fillId="35" borderId="2" xfId="70" applyNumberFormat="1" applyFont="1" applyFill="1" applyBorder="1" applyAlignment="1">
      <alignment horizontal="center" vertical="center"/>
    </xf>
    <xf numFmtId="41" fontId="36" fillId="35" borderId="2" xfId="70" applyNumberFormat="1" applyFont="1" applyFill="1" applyBorder="1">
      <alignment vertical="center"/>
    </xf>
    <xf numFmtId="41" fontId="36" fillId="35" borderId="2" xfId="123" applyNumberFormat="1" applyFont="1" applyFill="1" applyBorder="1" applyProtection="1">
      <alignment vertical="center"/>
    </xf>
    <xf numFmtId="41" fontId="36" fillId="35" borderId="2" xfId="71" applyNumberFormat="1" applyFont="1" applyFill="1" applyBorder="1" applyAlignment="1" applyProtection="1">
      <alignment horizontal="center" vertical="center"/>
    </xf>
    <xf numFmtId="180" fontId="49" fillId="0" borderId="40" xfId="68" applyNumberFormat="1" applyFont="1" applyFill="1" applyBorder="1" applyAlignment="1">
      <alignment vertical="center"/>
    </xf>
    <xf numFmtId="180" fontId="49" fillId="0" borderId="41" xfId="68" applyNumberFormat="1" applyFont="1" applyFill="1" applyBorder="1" applyAlignment="1">
      <alignment vertical="center"/>
    </xf>
    <xf numFmtId="0" fontId="36" fillId="26" borderId="1" xfId="0" applyNumberFormat="1" applyFont="1" applyFill="1" applyBorder="1" applyAlignment="1">
      <alignment horizontal="center" vertical="center"/>
    </xf>
    <xf numFmtId="0" fontId="36" fillId="27" borderId="4" xfId="121" applyFont="1" applyFill="1" applyBorder="1" applyAlignment="1" applyProtection="1">
      <alignment horizontal="center" vertical="center"/>
    </xf>
    <xf numFmtId="179" fontId="36" fillId="0" borderId="0" xfId="119" applyNumberFormat="1" applyFont="1" applyFill="1" applyBorder="1" applyAlignment="1">
      <alignment horizontal="center" vertical="center"/>
    </xf>
    <xf numFmtId="180" fontId="39" fillId="0" borderId="0" xfId="119" applyNumberFormat="1" applyFont="1" applyFill="1" applyBorder="1">
      <alignment vertical="center"/>
    </xf>
    <xf numFmtId="0" fontId="34" fillId="0" borderId="0" xfId="119" applyNumberFormat="1" applyFont="1" applyAlignment="1">
      <alignment horizontal="right" vertical="center"/>
    </xf>
    <xf numFmtId="180" fontId="36" fillId="0" borderId="4" xfId="119" applyNumberFormat="1" applyFont="1" applyFill="1" applyBorder="1">
      <alignment vertical="center"/>
    </xf>
    <xf numFmtId="180" fontId="36" fillId="0" borderId="5" xfId="119" applyNumberFormat="1" applyFont="1" applyFill="1" applyBorder="1">
      <alignment vertical="center"/>
    </xf>
    <xf numFmtId="180" fontId="36" fillId="0" borderId="23" xfId="119" applyNumberFormat="1" applyFont="1" applyFill="1" applyBorder="1">
      <alignment vertical="center"/>
    </xf>
    <xf numFmtId="180" fontId="36" fillId="0" borderId="2" xfId="119" applyNumberFormat="1" applyFont="1" applyFill="1" applyBorder="1">
      <alignment vertical="center"/>
    </xf>
    <xf numFmtId="180" fontId="36" fillId="0" borderId="20" xfId="119" applyNumberFormat="1" applyFont="1" applyFill="1" applyBorder="1">
      <alignment vertical="center"/>
    </xf>
    <xf numFmtId="180" fontId="36" fillId="0" borderId="24" xfId="119" applyNumberFormat="1" applyFont="1" applyFill="1" applyBorder="1">
      <alignment vertical="center"/>
    </xf>
    <xf numFmtId="180" fontId="36" fillId="0" borderId="21" xfId="119" applyNumberFormat="1" applyFont="1" applyFill="1" applyBorder="1">
      <alignment vertical="center"/>
    </xf>
    <xf numFmtId="179" fontId="36" fillId="27" borderId="7" xfId="121" applyNumberFormat="1" applyFont="1" applyFill="1" applyBorder="1" applyAlignment="1" applyProtection="1">
      <alignment horizontal="center" vertical="center" shrinkToFit="1"/>
    </xf>
    <xf numFmtId="41" fontId="39" fillId="0" borderId="1" xfId="70" applyNumberFormat="1" applyFont="1" applyFill="1" applyBorder="1">
      <alignment vertical="center"/>
    </xf>
    <xf numFmtId="41" fontId="36" fillId="0" borderId="1" xfId="70" applyNumberFormat="1" applyFont="1" applyBorder="1">
      <alignment vertical="center"/>
    </xf>
    <xf numFmtId="41" fontId="36" fillId="0" borderId="1" xfId="70" applyNumberFormat="1" applyFont="1" applyFill="1" applyBorder="1">
      <alignment vertical="center"/>
    </xf>
    <xf numFmtId="0" fontId="36" fillId="27" borderId="75" xfId="121" applyFont="1" applyFill="1" applyBorder="1" applyAlignment="1" applyProtection="1">
      <alignment vertical="center"/>
    </xf>
    <xf numFmtId="43" fontId="34" fillId="0" borderId="0" xfId="70" applyNumberFormat="1" applyFont="1">
      <alignment vertical="center"/>
    </xf>
    <xf numFmtId="41" fontId="36" fillId="0" borderId="40" xfId="1" applyNumberFormat="1" applyFont="1" applyFill="1" applyBorder="1" applyAlignment="1" applyProtection="1">
      <alignment horizontal="right" vertical="center"/>
    </xf>
    <xf numFmtId="0" fontId="34" fillId="27" borderId="23" xfId="0" applyNumberFormat="1" applyFont="1" applyFill="1" applyBorder="1" applyAlignment="1" applyProtection="1">
      <alignment horizontal="center" vertical="center"/>
    </xf>
    <xf numFmtId="0" fontId="34" fillId="27" borderId="23" xfId="0" applyNumberFormat="1" applyFont="1" applyFill="1" applyBorder="1" applyAlignment="1" applyProtection="1">
      <alignment horizontal="center" vertical="center" wrapText="1"/>
    </xf>
    <xf numFmtId="0" fontId="56" fillId="0" borderId="1" xfId="127" applyFont="1" applyFill="1" applyBorder="1" applyAlignment="1">
      <alignment horizontal="center" vertical="center"/>
    </xf>
    <xf numFmtId="0" fontId="36" fillId="0" borderId="1" xfId="4" applyFont="1" applyFill="1" applyBorder="1" applyAlignment="1" applyProtection="1">
      <alignment horizontal="center" vertical="center" shrinkToFit="1"/>
    </xf>
    <xf numFmtId="178" fontId="34" fillId="0" borderId="1" xfId="0" applyNumberFormat="1" applyFont="1" applyBorder="1" applyAlignment="1">
      <alignment vertical="center"/>
    </xf>
    <xf numFmtId="0" fontId="57" fillId="0" borderId="76" xfId="0" applyNumberFormat="1" applyFont="1" applyBorder="1" applyAlignment="1">
      <alignment horizontal="center" vertical="center"/>
    </xf>
    <xf numFmtId="178" fontId="34" fillId="35" borderId="1" xfId="0" applyNumberFormat="1" applyFont="1" applyFill="1" applyBorder="1" applyAlignment="1">
      <alignment vertical="center"/>
    </xf>
    <xf numFmtId="0" fontId="34" fillId="27" borderId="1" xfId="0" applyNumberFormat="1" applyFont="1" applyFill="1" applyBorder="1" applyAlignment="1" applyProtection="1">
      <alignment horizontal="center" vertical="center" shrinkToFit="1"/>
    </xf>
    <xf numFmtId="41" fontId="39" fillId="0" borderId="1" xfId="0" applyNumberFormat="1" applyFont="1" applyFill="1" applyBorder="1" applyAlignment="1" applyProtection="1">
      <alignment horizontal="right" vertical="center"/>
    </xf>
    <xf numFmtId="178" fontId="47" fillId="0" borderId="37" xfId="71" applyNumberFormat="1" applyFont="1" applyFill="1" applyBorder="1" applyAlignment="1" applyProtection="1">
      <alignment horizontal="right" vertical="center" indent="3"/>
    </xf>
    <xf numFmtId="0" fontId="46" fillId="30" borderId="32" xfId="121" applyFont="1" applyFill="1" applyBorder="1" applyAlignment="1" applyProtection="1">
      <alignment horizontal="center" vertical="center"/>
    </xf>
    <xf numFmtId="178" fontId="47" fillId="0" borderId="31" xfId="71" applyNumberFormat="1" applyFont="1" applyFill="1" applyBorder="1" applyAlignment="1" applyProtection="1">
      <alignment horizontal="right" vertical="center" indent="3"/>
    </xf>
    <xf numFmtId="0" fontId="45" fillId="0" borderId="6" xfId="0" applyNumberFormat="1" applyFont="1" applyBorder="1" applyAlignment="1">
      <alignment horizontal="center" vertical="center"/>
    </xf>
    <xf numFmtId="0" fontId="45" fillId="0" borderId="24" xfId="0" applyNumberFormat="1" applyFont="1" applyBorder="1" applyAlignment="1">
      <alignment horizontal="center" vertical="center"/>
    </xf>
    <xf numFmtId="0" fontId="44" fillId="0" borderId="0" xfId="0" quotePrefix="1" applyNumberFormat="1" applyFont="1" applyBorder="1" applyAlignment="1">
      <alignment horizontal="center" vertical="center"/>
    </xf>
    <xf numFmtId="0" fontId="44" fillId="0" borderId="0" xfId="0" applyNumberFormat="1" applyFont="1" applyBorder="1" applyAlignment="1">
      <alignment horizontal="center" vertical="center"/>
    </xf>
    <xf numFmtId="178" fontId="47" fillId="0" borderId="37" xfId="71" applyNumberFormat="1" applyFont="1" applyFill="1" applyBorder="1" applyAlignment="1" applyProtection="1">
      <alignment horizontal="right" vertical="center" indent="3"/>
    </xf>
    <xf numFmtId="178" fontId="47" fillId="0" borderId="58" xfId="71" applyNumberFormat="1" applyFont="1" applyFill="1" applyBorder="1" applyAlignment="1" applyProtection="1">
      <alignment horizontal="right" vertical="center" indent="3"/>
    </xf>
    <xf numFmtId="0" fontId="41" fillId="0" borderId="33" xfId="0" applyNumberFormat="1" applyFont="1" applyBorder="1" applyAlignment="1">
      <alignment horizontal="right" vertical="center"/>
    </xf>
    <xf numFmtId="0" fontId="46" fillId="30" borderId="69" xfId="121" applyNumberFormat="1" applyFont="1" applyFill="1" applyBorder="1" applyAlignment="1" applyProtection="1">
      <alignment horizontal="center" vertical="center"/>
    </xf>
    <xf numFmtId="0" fontId="46" fillId="30" borderId="70" xfId="121" applyNumberFormat="1" applyFont="1" applyFill="1" applyBorder="1" applyAlignment="1" applyProtection="1">
      <alignment horizontal="center" vertical="center"/>
    </xf>
    <xf numFmtId="178" fontId="47" fillId="0" borderId="37" xfId="71" applyNumberFormat="1" applyFont="1" applyFill="1" applyBorder="1" applyAlignment="1" applyProtection="1">
      <alignment horizontal="center" vertical="center"/>
    </xf>
    <xf numFmtId="178" fontId="47" fillId="0" borderId="71" xfId="71" applyNumberFormat="1" applyFont="1" applyFill="1" applyBorder="1" applyAlignment="1" applyProtection="1">
      <alignment horizontal="center" vertical="center"/>
    </xf>
    <xf numFmtId="0" fontId="38" fillId="31" borderId="34" xfId="70" applyNumberFormat="1" applyFont="1" applyFill="1" applyBorder="1" applyAlignment="1">
      <alignment horizontal="center" vertical="center"/>
    </xf>
    <xf numFmtId="0" fontId="38" fillId="31" borderId="23" xfId="70" applyNumberFormat="1" applyFont="1" applyFill="1" applyBorder="1" applyAlignment="1">
      <alignment horizontal="center" vertical="center"/>
    </xf>
    <xf numFmtId="0" fontId="43" fillId="0" borderId="0" xfId="121" quotePrefix="1" applyFont="1" applyAlignment="1">
      <alignment horizontal="center" vertical="center"/>
    </xf>
    <xf numFmtId="0" fontId="43" fillId="0" borderId="0" xfId="121" applyFont="1" applyAlignment="1">
      <alignment horizontal="center" vertical="center"/>
    </xf>
    <xf numFmtId="0" fontId="36" fillId="27" borderId="3" xfId="121" applyFont="1" applyFill="1" applyBorder="1" applyAlignment="1" applyProtection="1">
      <alignment horizontal="center" vertical="center"/>
    </xf>
    <xf numFmtId="0" fontId="36" fillId="27" borderId="6" xfId="121" applyFont="1" applyFill="1" applyBorder="1" applyAlignment="1" applyProtection="1">
      <alignment horizontal="center" vertical="center"/>
    </xf>
    <xf numFmtId="0" fontId="36" fillId="27" borderId="4" xfId="121" applyFont="1" applyFill="1" applyBorder="1" applyAlignment="1" applyProtection="1">
      <alignment horizontal="center" vertical="center"/>
    </xf>
    <xf numFmtId="0" fontId="36" fillId="27" borderId="4" xfId="121" applyNumberFormat="1" applyFont="1" applyFill="1" applyBorder="1" applyAlignment="1" applyProtection="1">
      <alignment horizontal="center" vertical="center"/>
    </xf>
    <xf numFmtId="0" fontId="36" fillId="27" borderId="5" xfId="121" applyFont="1" applyFill="1" applyBorder="1" applyAlignment="1" applyProtection="1">
      <alignment horizontal="center" vertical="center"/>
    </xf>
    <xf numFmtId="0" fontId="36" fillId="27" borderId="8" xfId="121" applyFont="1" applyFill="1" applyBorder="1" applyAlignment="1" applyProtection="1">
      <alignment horizontal="center" vertical="center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34" fillId="27" borderId="23" xfId="0" applyNumberFormat="1" applyFont="1" applyFill="1" applyBorder="1" applyAlignment="1" applyProtection="1">
      <alignment horizontal="center" vertical="center"/>
    </xf>
    <xf numFmtId="0" fontId="34" fillId="27" borderId="23" xfId="0" applyNumberFormat="1" applyFont="1" applyFill="1" applyBorder="1" applyAlignment="1" applyProtection="1">
      <alignment horizontal="center" vertical="center" wrapText="1"/>
    </xf>
    <xf numFmtId="0" fontId="34" fillId="27" borderId="42" xfId="0" applyNumberFormat="1" applyFont="1" applyFill="1" applyBorder="1" applyAlignment="1" applyProtection="1">
      <alignment horizontal="center" vertical="center"/>
    </xf>
    <xf numFmtId="0" fontId="34" fillId="27" borderId="35" xfId="0" applyNumberFormat="1" applyFont="1" applyFill="1" applyBorder="1" applyAlignment="1" applyProtection="1">
      <alignment horizontal="center" vertical="center"/>
    </xf>
    <xf numFmtId="0" fontId="34" fillId="27" borderId="34" xfId="0" applyNumberFormat="1" applyFont="1" applyFill="1" applyBorder="1" applyAlignment="1" applyProtection="1">
      <alignment horizontal="center" vertical="center"/>
    </xf>
    <xf numFmtId="0" fontId="34" fillId="27" borderId="36" xfId="0" applyNumberFormat="1" applyFont="1" applyFill="1" applyBorder="1" applyAlignment="1" applyProtection="1">
      <alignment horizontal="center" vertical="center" wrapText="1"/>
    </xf>
    <xf numFmtId="0" fontId="34" fillId="27" borderId="2" xfId="0" applyNumberFormat="1" applyFont="1" applyFill="1" applyBorder="1" applyAlignment="1" applyProtection="1">
      <alignment horizontal="center" vertical="center" wrapText="1"/>
    </xf>
    <xf numFmtId="0" fontId="34" fillId="27" borderId="23" xfId="0" applyNumberFormat="1" applyFont="1" applyFill="1" applyBorder="1" applyAlignment="1">
      <alignment horizontal="center" vertical="center"/>
    </xf>
    <xf numFmtId="0" fontId="34" fillId="27" borderId="1" xfId="0" applyNumberFormat="1" applyFont="1" applyFill="1" applyBorder="1" applyAlignment="1">
      <alignment horizontal="center" vertical="center"/>
    </xf>
    <xf numFmtId="49" fontId="34" fillId="27" borderId="23" xfId="0" applyNumberFormat="1" applyFont="1" applyFill="1" applyBorder="1" applyAlignment="1" applyProtection="1">
      <alignment horizontal="center" vertical="center"/>
    </xf>
    <xf numFmtId="0" fontId="43" fillId="0" borderId="0" xfId="74" applyFont="1" applyAlignment="1">
      <alignment horizontal="center" vertical="center"/>
    </xf>
    <xf numFmtId="0" fontId="36" fillId="26" borderId="25" xfId="0" applyNumberFormat="1" applyFont="1" applyFill="1" applyBorder="1" applyAlignment="1">
      <alignment horizontal="center" vertical="center"/>
    </xf>
    <xf numFmtId="0" fontId="36" fillId="26" borderId="2" xfId="0" applyNumberFormat="1" applyFont="1" applyFill="1" applyBorder="1" applyAlignment="1">
      <alignment horizontal="center" vertical="center"/>
    </xf>
    <xf numFmtId="0" fontId="42" fillId="0" borderId="0" xfId="0" applyNumberFormat="1" applyFont="1" applyAlignment="1">
      <alignment horizontal="center" vertical="center"/>
    </xf>
    <xf numFmtId="0" fontId="36" fillId="26" borderId="27" xfId="0" applyNumberFormat="1" applyFont="1" applyFill="1" applyBorder="1" applyAlignment="1">
      <alignment horizontal="center" vertical="center"/>
    </xf>
    <xf numFmtId="0" fontId="36" fillId="26" borderId="28" xfId="0" applyNumberFormat="1" applyFont="1" applyFill="1" applyBorder="1" applyAlignment="1">
      <alignment horizontal="center" vertical="center"/>
    </xf>
    <xf numFmtId="0" fontId="36" fillId="26" borderId="26" xfId="0" applyNumberFormat="1" applyFont="1" applyFill="1" applyBorder="1" applyAlignment="1">
      <alignment horizontal="center" vertical="center"/>
    </xf>
    <xf numFmtId="0" fontId="36" fillId="26" borderId="1" xfId="0" quotePrefix="1" applyNumberFormat="1" applyFont="1" applyFill="1" applyBorder="1" applyAlignment="1">
      <alignment horizontal="center" vertical="center"/>
    </xf>
    <xf numFmtId="0" fontId="55" fillId="0" borderId="0" xfId="119" quotePrefix="1" applyNumberFormat="1" applyFont="1" applyAlignment="1">
      <alignment horizontal="center" vertical="center"/>
    </xf>
    <xf numFmtId="0" fontId="34" fillId="0" borderId="33" xfId="119" applyNumberFormat="1" applyFont="1" applyBorder="1" applyAlignment="1">
      <alignment horizontal="center" vertical="center"/>
    </xf>
    <xf numFmtId="0" fontId="37" fillId="25" borderId="3" xfId="119" applyNumberFormat="1" applyFont="1" applyFill="1" applyBorder="1" applyAlignment="1">
      <alignment horizontal="center" vertical="center"/>
    </xf>
    <xf numFmtId="0" fontId="37" fillId="25" borderId="32" xfId="119" applyNumberFormat="1" applyFont="1" applyFill="1" applyBorder="1" applyAlignment="1">
      <alignment horizontal="center" vertical="center"/>
    </xf>
    <xf numFmtId="187" fontId="37" fillId="25" borderId="4" xfId="119" applyNumberFormat="1" applyFont="1" applyFill="1" applyBorder="1" applyAlignment="1">
      <alignment horizontal="center" vertical="center"/>
    </xf>
    <xf numFmtId="187" fontId="37" fillId="25" borderId="5" xfId="119" applyNumberFormat="1" applyFont="1" applyFill="1" applyBorder="1" applyAlignment="1">
      <alignment horizontal="center" vertical="center"/>
    </xf>
    <xf numFmtId="0" fontId="42" fillId="0" borderId="0" xfId="119" applyNumberFormat="1" applyFont="1" applyFill="1" applyAlignment="1">
      <alignment horizontal="center" vertical="center"/>
    </xf>
    <xf numFmtId="179" fontId="34" fillId="26" borderId="4" xfId="119" applyNumberFormat="1" applyFont="1" applyFill="1" applyBorder="1" applyAlignment="1">
      <alignment horizontal="center" vertical="center"/>
    </xf>
    <xf numFmtId="179" fontId="36" fillId="26" borderId="4" xfId="119" applyNumberFormat="1" applyFont="1" applyFill="1" applyBorder="1" applyAlignment="1">
      <alignment horizontal="center" vertical="center" wrapText="1"/>
    </xf>
    <xf numFmtId="179" fontId="36" fillId="26" borderId="7" xfId="119" applyNumberFormat="1" applyFont="1" applyFill="1" applyBorder="1" applyAlignment="1">
      <alignment horizontal="center" vertical="center"/>
    </xf>
    <xf numFmtId="179" fontId="34" fillId="26" borderId="3" xfId="119" applyNumberFormat="1" applyFont="1" applyFill="1" applyBorder="1" applyAlignment="1">
      <alignment horizontal="center" vertical="center"/>
    </xf>
    <xf numFmtId="179" fontId="34" fillId="26" borderId="6" xfId="119" applyNumberFormat="1" applyFont="1" applyFill="1" applyBorder="1" applyAlignment="1">
      <alignment horizontal="center" vertical="center"/>
    </xf>
    <xf numFmtId="179" fontId="36" fillId="26" borderId="5" xfId="119" applyNumberFormat="1" applyFont="1" applyFill="1" applyBorder="1" applyAlignment="1">
      <alignment horizontal="center" vertical="center"/>
    </xf>
    <xf numFmtId="179" fontId="36" fillId="26" borderId="8" xfId="119" applyNumberFormat="1" applyFont="1" applyFill="1" applyBorder="1" applyAlignment="1">
      <alignment horizontal="center" vertical="center"/>
    </xf>
    <xf numFmtId="179" fontId="36" fillId="26" borderId="4" xfId="119" applyNumberFormat="1" applyFont="1" applyFill="1" applyBorder="1" applyAlignment="1">
      <alignment horizontal="center" vertical="center"/>
    </xf>
    <xf numFmtId="0" fontId="36" fillId="0" borderId="6" xfId="119" applyNumberFormat="1" applyFont="1" applyBorder="1" applyAlignment="1">
      <alignment horizontal="center" vertical="center"/>
    </xf>
    <xf numFmtId="0" fontId="36" fillId="0" borderId="7" xfId="119" applyNumberFormat="1" applyFont="1" applyBorder="1" applyAlignment="1">
      <alignment horizontal="center" vertical="center"/>
    </xf>
    <xf numFmtId="0" fontId="36" fillId="0" borderId="3" xfId="119" applyNumberFormat="1" applyFont="1" applyBorder="1" applyAlignment="1">
      <alignment horizontal="center" vertical="center"/>
    </xf>
    <xf numFmtId="0" fontId="36" fillId="0" borderId="4" xfId="119" applyNumberFormat="1" applyFont="1" applyBorder="1" applyAlignment="1">
      <alignment horizontal="center" vertical="center"/>
    </xf>
    <xf numFmtId="180" fontId="36" fillId="0" borderId="30" xfId="119" applyNumberFormat="1" applyFont="1" applyBorder="1" applyAlignment="1">
      <alignment horizontal="center" vertical="center"/>
    </xf>
    <xf numFmtId="180" fontId="36" fillId="0" borderId="9" xfId="119" applyNumberFormat="1" applyFont="1" applyBorder="1" applyAlignment="1">
      <alignment horizontal="center" vertical="center"/>
    </xf>
    <xf numFmtId="180" fontId="36" fillId="0" borderId="32" xfId="119" applyNumberFormat="1" applyFont="1" applyBorder="1" applyAlignment="1">
      <alignment horizontal="center" vertical="center"/>
    </xf>
    <xf numFmtId="180" fontId="36" fillId="0" borderId="1" xfId="119" applyNumberFormat="1" applyFont="1" applyBorder="1" applyAlignment="1">
      <alignment horizontal="center" vertical="center"/>
    </xf>
    <xf numFmtId="0" fontId="54" fillId="0" borderId="0" xfId="0" applyNumberFormat="1" applyFont="1" applyAlignment="1">
      <alignment horizontal="center" vertical="center"/>
    </xf>
    <xf numFmtId="0" fontId="57" fillId="0" borderId="0" xfId="0" applyNumberFormat="1" applyFont="1" applyBorder="1" applyAlignment="1">
      <alignment horizontal="center" vertical="center"/>
    </xf>
    <xf numFmtId="0" fontId="46" fillId="30" borderId="69" xfId="121" applyFont="1" applyFill="1" applyBorder="1" applyAlignment="1" applyProtection="1">
      <alignment horizontal="center" vertical="center"/>
    </xf>
    <xf numFmtId="0" fontId="47" fillId="30" borderId="36" xfId="121" applyFont="1" applyFill="1" applyBorder="1" applyAlignment="1" applyProtection="1">
      <alignment horizontal="center" vertical="center"/>
    </xf>
    <xf numFmtId="180" fontId="47" fillId="0" borderId="36" xfId="71" applyNumberFormat="1" applyFont="1" applyFill="1" applyBorder="1" applyAlignment="1" applyProtection="1">
      <alignment horizontal="right" vertical="center" indent="2"/>
    </xf>
  </cellXfs>
  <cellStyles count="128">
    <cellStyle name="20% - 강조색1 2" xfId="75"/>
    <cellStyle name="20% - 강조색2 2" xfId="76"/>
    <cellStyle name="20% - 강조색3 2" xfId="77"/>
    <cellStyle name="20% - 강조색4 2" xfId="78"/>
    <cellStyle name="20% - 강조색5 2" xfId="79"/>
    <cellStyle name="20% - 강조색6 2" xfId="7"/>
    <cellStyle name="20% - 강조색6 3" xfId="80"/>
    <cellStyle name="40% - 강조색1 2" xfId="81"/>
    <cellStyle name="40% - 강조색2 2" xfId="82"/>
    <cellStyle name="40% - 강조색3 2" xfId="83"/>
    <cellStyle name="40% - 강조색4 2" xfId="84"/>
    <cellStyle name="40% - 강조색5 2" xfId="85"/>
    <cellStyle name="40% - 강조색6 2" xfId="86"/>
    <cellStyle name="60% - 강조색1 2" xfId="87"/>
    <cellStyle name="60% - 강조색2 2" xfId="88"/>
    <cellStyle name="60% - 강조색3 2" xfId="89"/>
    <cellStyle name="60% - 강조색4 2" xfId="90"/>
    <cellStyle name="60% - 강조색5 2" xfId="91"/>
    <cellStyle name="60% - 강조색6 2" xfId="92"/>
    <cellStyle name="Comma [0]_ SG&amp;A Bridge " xfId="8"/>
    <cellStyle name="Comma_ SG&amp;A Bridge " xfId="9"/>
    <cellStyle name="Currency [0]_ SG&amp;A Bridge " xfId="10"/>
    <cellStyle name="Currency_ SG&amp;A Bridge " xfId="11"/>
    <cellStyle name="Normal_ SG&amp;A Bridge " xfId="12"/>
    <cellStyle name="강조색1 2" xfId="93"/>
    <cellStyle name="강조색2 2" xfId="94"/>
    <cellStyle name="강조색3 2" xfId="95"/>
    <cellStyle name="강조색4 2" xfId="96"/>
    <cellStyle name="강조색5 2" xfId="97"/>
    <cellStyle name="강조색6 2" xfId="98"/>
    <cellStyle name="경고문 2" xfId="99"/>
    <cellStyle name="계산 2" xfId="100"/>
    <cellStyle name="나쁨 2" xfId="101"/>
    <cellStyle name="메모 2" xfId="102"/>
    <cellStyle name="백분율 2" xfId="13"/>
    <cellStyle name="백분율 3" xfId="14"/>
    <cellStyle name="보통 2" xfId="103"/>
    <cellStyle name="뷭?_BOOKSHIP" xfId="15"/>
    <cellStyle name="설명 텍스트 2" xfId="104"/>
    <cellStyle name="셀 확인 2" xfId="105"/>
    <cellStyle name="쉼표 [0]" xfId="1" builtinId="6"/>
    <cellStyle name="쉼표 [0] 10" xfId="16"/>
    <cellStyle name="쉼표 [0] 11" xfId="17"/>
    <cellStyle name="쉼표 [0] 12" xfId="18"/>
    <cellStyle name="쉼표 [0] 13" xfId="19"/>
    <cellStyle name="쉼표 [0] 14" xfId="20"/>
    <cellStyle name="쉼표 [0] 15" xfId="21"/>
    <cellStyle name="쉼표 [0] 16" xfId="22"/>
    <cellStyle name="쉼표 [0] 17" xfId="66"/>
    <cellStyle name="쉼표 [0] 18" xfId="73"/>
    <cellStyle name="쉼표 [0] 19" xfId="125"/>
    <cellStyle name="쉼표 [0] 2" xfId="6"/>
    <cellStyle name="쉼표 [0] 2 2" xfId="23"/>
    <cellStyle name="쉼표 [0] 2 3" xfId="24"/>
    <cellStyle name="쉼표 [0] 2 4" xfId="25"/>
    <cellStyle name="쉼표 [0] 2 5" xfId="71"/>
    <cellStyle name="쉼표 [0] 2 6" xfId="118"/>
    <cellStyle name="쉼표 [0] 3" xfId="26"/>
    <cellStyle name="쉼표 [0] 3 2" xfId="27"/>
    <cellStyle name="쉼표 [0] 3_집배구" xfId="28"/>
    <cellStyle name="쉼표 [0] 4" xfId="29"/>
    <cellStyle name="쉼표 [0] 5" xfId="2"/>
    <cellStyle name="쉼표 [0] 6" xfId="30"/>
    <cellStyle name="쉼표 [0] 6 2" xfId="31"/>
    <cellStyle name="쉼표 [0] 7" xfId="32"/>
    <cellStyle name="쉼표 [0] 8" xfId="33"/>
    <cellStyle name="쉼표 [0] 9" xfId="34"/>
    <cellStyle name="연결된 셀 2" xfId="106"/>
    <cellStyle name="요약 2" xfId="107"/>
    <cellStyle name="입력 2" xfId="108"/>
    <cellStyle name="제목 1 2" xfId="109"/>
    <cellStyle name="제목 2 2" xfId="110"/>
    <cellStyle name="제목 3 2" xfId="111"/>
    <cellStyle name="제목 4 2" xfId="112"/>
    <cellStyle name="제목 5" xfId="113"/>
    <cellStyle name="좋음 2" xfId="114"/>
    <cellStyle name="출력 2" xfId="115"/>
    <cellStyle name="콤마 [0]_1102예산" xfId="35"/>
    <cellStyle name="콤마_1102예산" xfId="36"/>
    <cellStyle name="표준" xfId="0" builtinId="0"/>
    <cellStyle name="표준 10" xfId="37"/>
    <cellStyle name="표준 11" xfId="38"/>
    <cellStyle name="표준 12" xfId="39"/>
    <cellStyle name="표준 12 2" xfId="40"/>
    <cellStyle name="표준 13" xfId="41"/>
    <cellStyle name="표준 14" xfId="42"/>
    <cellStyle name="표준 15" xfId="43"/>
    <cellStyle name="표준 16" xfId="44"/>
    <cellStyle name="표준 17" xfId="45"/>
    <cellStyle name="표준 18" xfId="46"/>
    <cellStyle name="표준 19" xfId="47"/>
    <cellStyle name="표준 2" xfId="4"/>
    <cellStyle name="표준 2 2" xfId="48"/>
    <cellStyle name="표준 2 2 2" xfId="117"/>
    <cellStyle name="표준 2 3" xfId="49"/>
    <cellStyle name="표준 2 4" xfId="67"/>
    <cellStyle name="표준 2 5" xfId="70"/>
    <cellStyle name="표준 2_임차비산출자료" xfId="69"/>
    <cellStyle name="표준 20" xfId="50"/>
    <cellStyle name="표준 21" xfId="51"/>
    <cellStyle name="표준 22" xfId="52"/>
    <cellStyle name="표준 23" xfId="53"/>
    <cellStyle name="표준 24" xfId="54"/>
    <cellStyle name="표준 25" xfId="55"/>
    <cellStyle name="표준 26" xfId="56"/>
    <cellStyle name="표준 27" xfId="57"/>
    <cellStyle name="표준 28" xfId="58"/>
    <cellStyle name="표준 29" xfId="65"/>
    <cellStyle name="표준 3" xfId="3"/>
    <cellStyle name="표준 3 2" xfId="121"/>
    <cellStyle name="표준 3 7" xfId="126"/>
    <cellStyle name="표준 3_발착보로금" xfId="124"/>
    <cellStyle name="표준 30" xfId="68"/>
    <cellStyle name="표준 31" xfId="72"/>
    <cellStyle name="표준 4" xfId="59"/>
    <cellStyle name="표준 4 2" xfId="120"/>
    <cellStyle name="표준 5" xfId="60"/>
    <cellStyle name="표준 5 2" xfId="74"/>
    <cellStyle name="표준 6" xfId="61"/>
    <cellStyle name="표준 6 2" xfId="116"/>
    <cellStyle name="표준 7" xfId="62"/>
    <cellStyle name="표준 7 2" xfId="119"/>
    <cellStyle name="표준 8" xfId="63"/>
    <cellStyle name="표준 9" xfId="64"/>
    <cellStyle name="표준_Sheet1" xfId="122"/>
    <cellStyle name="표준_Sheet2" xfId="127"/>
    <cellStyle name="표준_배정" xfId="5"/>
    <cellStyle name="표준_배정 2" xfId="12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315F97"/>
          <bgColor rgb="FF315F97"/>
        </patternFill>
      </fill>
      <border>
        <top style="thin">
          <color rgb="FF000000"/>
        </top>
        <bottom style="thin">
          <color rgb="FF000000"/>
        </bottom>
      </border>
    </dxf>
    <dxf>
      <fill>
        <patternFill patternType="solid">
          <fgColor rgb="FF315F97"/>
          <bgColor rgb="FF315F97"/>
        </patternFill>
      </fill>
    </dxf>
    <dxf>
      <font>
        <b/>
      </font>
      <border>
        <left style="medium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  <dxf>
      <font>
        <b/>
      </font>
      <border>
        <left style="thin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  <horizontal style="thin">
          <color rgb="FF000000"/>
        </horizontal>
      </border>
    </dxf>
    <dxf>
      <font>
        <b/>
      </font>
      <border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</border>
    </dxf>
    <dxf>
      <font>
        <b/>
        <color rgb="FFFFFFFF"/>
      </font>
      <fill>
        <patternFill patternType="solid">
          <fgColor rgb="FF205AA0"/>
          <bgColor rgb="FF205AA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ck">
          <color rgb="FF000000"/>
        </bottom>
      </border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</dxfs>
  <tableStyles count="2" defaultTableStyle="Generic Style 1 - Accent 1" defaultPivotStyle="Light Style 1 - Accent 1">
    <tableStyle name="Generic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D17"/>
  <sheetViews>
    <sheetView tabSelected="1" workbookViewId="0">
      <selection activeCell="C8" sqref="C8"/>
    </sheetView>
  </sheetViews>
  <sheetFormatPr defaultRowHeight="13.5"/>
  <cols>
    <col min="1" max="1" width="16.77734375" customWidth="1"/>
    <col min="2" max="2" width="36.109375" customWidth="1"/>
    <col min="3" max="3" width="16.77734375" customWidth="1"/>
    <col min="4" max="4" width="20.77734375" customWidth="1"/>
  </cols>
  <sheetData>
    <row r="1" spans="1:4" ht="31.5">
      <c r="A1" s="238" t="s">
        <v>176</v>
      </c>
      <c r="B1" s="239"/>
      <c r="C1" s="239"/>
      <c r="D1" s="239"/>
    </row>
    <row r="2" spans="1:4" ht="15.95" customHeight="1" thickBot="1">
      <c r="A2" s="242" t="s">
        <v>140</v>
      </c>
      <c r="B2" s="242"/>
      <c r="C2" s="242"/>
      <c r="D2" s="242"/>
    </row>
    <row r="3" spans="1:4" ht="26.1" customHeight="1">
      <c r="A3" s="97" t="s">
        <v>162</v>
      </c>
      <c r="B3" s="98" t="s">
        <v>163</v>
      </c>
      <c r="C3" s="98" t="s">
        <v>164</v>
      </c>
      <c r="D3" s="99" t="s">
        <v>165</v>
      </c>
    </row>
    <row r="4" spans="1:4" ht="30" customHeight="1">
      <c r="A4" s="234" t="s">
        <v>169</v>
      </c>
      <c r="B4" s="100" t="str">
        <f>예산배정서!B4</f>
        <v>5132-311-110-04</v>
      </c>
      <c r="C4" s="101">
        <f>예산배정서!B5</f>
        <v>117000</v>
      </c>
      <c r="D4" s="240">
        <f>SUM(C4:C5)</f>
        <v>186680</v>
      </c>
    </row>
    <row r="5" spans="1:4" ht="30" customHeight="1">
      <c r="A5" s="234"/>
      <c r="B5" s="100" t="str">
        <f>예산배정서!C4</f>
        <v>5132-312-110-04</v>
      </c>
      <c r="C5" s="101">
        <f>예산배정서!C5</f>
        <v>69680</v>
      </c>
      <c r="D5" s="241"/>
    </row>
    <row r="6" spans="1:4" ht="30" customHeight="1">
      <c r="A6" s="243" t="s">
        <v>166</v>
      </c>
      <c r="B6" s="100" t="str">
        <f>예산배정서!E4</f>
        <v>5132-311
-210-01</v>
      </c>
      <c r="C6" s="101">
        <f>예산배정서!E5</f>
        <v>31700</v>
      </c>
      <c r="D6" s="245">
        <f>SUM(C6:C7)</f>
        <v>104700</v>
      </c>
    </row>
    <row r="7" spans="1:4" ht="30" customHeight="1">
      <c r="A7" s="244"/>
      <c r="B7" s="100" t="str">
        <f>예산배정서!F4</f>
        <v>5132-312
-210-01</v>
      </c>
      <c r="C7" s="101">
        <f>예산배정서!F5</f>
        <v>73000</v>
      </c>
      <c r="D7" s="246"/>
    </row>
    <row r="8" spans="1:4" ht="30" customHeight="1">
      <c r="A8" s="234" t="s">
        <v>68</v>
      </c>
      <c r="B8" s="100" t="str">
        <f>예산배정서!H4</f>
        <v>5132-311
-210-05</v>
      </c>
      <c r="C8" s="101">
        <f>예산배정서!H5</f>
        <v>82650</v>
      </c>
      <c r="D8" s="235">
        <f>SUM(C8:C9)</f>
        <v>103950</v>
      </c>
    </row>
    <row r="9" spans="1:4" ht="30" customHeight="1">
      <c r="A9" s="234"/>
      <c r="B9" s="100" t="str">
        <f>예산배정서!I4</f>
        <v>5132-312
-210-05</v>
      </c>
      <c r="C9" s="101">
        <f>예산배정서!I5</f>
        <v>21300</v>
      </c>
      <c r="D9" s="235"/>
    </row>
    <row r="10" spans="1:4" ht="30" customHeight="1">
      <c r="A10" s="234" t="s">
        <v>170</v>
      </c>
      <c r="B10" s="100" t="str">
        <f>예산배정서!K4</f>
        <v>5132-311
-210-07</v>
      </c>
      <c r="C10" s="101">
        <f>예산배정서!K5</f>
        <v>500</v>
      </c>
      <c r="D10" s="235">
        <f>SUM(C10:C11)</f>
        <v>16300</v>
      </c>
    </row>
    <row r="11" spans="1:4" ht="30" customHeight="1">
      <c r="A11" s="234"/>
      <c r="B11" s="100" t="str">
        <f>예산배정서!L4</f>
        <v>5132-312-210-07</v>
      </c>
      <c r="C11" s="101">
        <f>예산배정서!L5</f>
        <v>15800</v>
      </c>
      <c r="D11" s="235"/>
    </row>
    <row r="12" spans="1:4" ht="30" customHeight="1">
      <c r="A12" s="301" t="s">
        <v>236</v>
      </c>
      <c r="B12" s="302" t="s">
        <v>237</v>
      </c>
      <c r="C12" s="303">
        <f>예산배정서!M5</f>
        <v>70300</v>
      </c>
      <c r="D12" s="233">
        <f>C12</f>
        <v>70300</v>
      </c>
    </row>
    <row r="13" spans="1:4" ht="30" customHeight="1" thickBot="1">
      <c r="A13" s="236" t="s">
        <v>168</v>
      </c>
      <c r="B13" s="237"/>
      <c r="C13" s="237"/>
      <c r="D13" s="102">
        <f>SUM(D4:D12)</f>
        <v>481930</v>
      </c>
    </row>
    <row r="16" spans="1:4">
      <c r="D16" s="68"/>
    </row>
    <row r="17" spans="4:4">
      <c r="D17" s="68"/>
    </row>
  </sheetData>
  <mergeCells count="11">
    <mergeCell ref="A10:A11"/>
    <mergeCell ref="D10:D11"/>
    <mergeCell ref="A13:C13"/>
    <mergeCell ref="A1:D1"/>
    <mergeCell ref="A4:A5"/>
    <mergeCell ref="D4:D5"/>
    <mergeCell ref="A8:A9"/>
    <mergeCell ref="D8:D9"/>
    <mergeCell ref="A2:D2"/>
    <mergeCell ref="A6:A7"/>
    <mergeCell ref="D6:D7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-0.249977111117893"/>
    <pageSetUpPr fitToPage="1"/>
  </sheetPr>
  <dimension ref="A1:R60"/>
  <sheetViews>
    <sheetView topLeftCell="G1" workbookViewId="0">
      <selection activeCell="K8" sqref="K8"/>
    </sheetView>
  </sheetViews>
  <sheetFormatPr defaultRowHeight="13.5"/>
  <cols>
    <col min="1" max="15" width="9.77734375" style="2" customWidth="1"/>
    <col min="16" max="16" width="7.6640625" style="2" hidden="1" customWidth="1"/>
    <col min="17" max="17" width="9.109375" style="2" hidden="1" customWidth="1"/>
    <col min="18" max="18" width="6.6640625" style="2" hidden="1" customWidth="1"/>
    <col min="19" max="16384" width="8.88671875" style="2"/>
  </cols>
  <sheetData>
    <row r="1" spans="1:18" ht="32.1" customHeight="1">
      <c r="A1" s="249" t="s">
        <v>180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</row>
    <row r="2" spans="1:18" ht="15" customHeight="1" thickBot="1">
      <c r="A2" s="147"/>
      <c r="B2" s="147"/>
      <c r="C2" s="147"/>
      <c r="D2" s="147"/>
      <c r="E2" s="148"/>
      <c r="F2" s="147"/>
      <c r="G2" s="147"/>
      <c r="H2" s="147"/>
      <c r="I2" s="147"/>
      <c r="J2" s="147"/>
      <c r="K2" s="147"/>
      <c r="L2" s="147"/>
      <c r="M2" s="147"/>
      <c r="N2" s="148"/>
      <c r="O2" s="149" t="s">
        <v>80</v>
      </c>
    </row>
    <row r="3" spans="1:18">
      <c r="A3" s="251" t="s">
        <v>41</v>
      </c>
      <c r="B3" s="253" t="s">
        <v>190</v>
      </c>
      <c r="C3" s="253"/>
      <c r="D3" s="253"/>
      <c r="E3" s="254" t="s">
        <v>191</v>
      </c>
      <c r="F3" s="254"/>
      <c r="G3" s="254"/>
      <c r="H3" s="253" t="s">
        <v>68</v>
      </c>
      <c r="I3" s="253"/>
      <c r="J3" s="253"/>
      <c r="K3" s="253" t="s">
        <v>42</v>
      </c>
      <c r="L3" s="253"/>
      <c r="M3" s="206" t="s">
        <v>212</v>
      </c>
      <c r="N3" s="221"/>
      <c r="O3" s="255" t="s">
        <v>14</v>
      </c>
      <c r="P3" s="247" t="s">
        <v>141</v>
      </c>
      <c r="Q3" s="248"/>
      <c r="R3" s="248"/>
    </row>
    <row r="4" spans="1:18" ht="14.25" thickBot="1">
      <c r="A4" s="252"/>
      <c r="B4" s="71" t="s">
        <v>177</v>
      </c>
      <c r="C4" s="71" t="s">
        <v>178</v>
      </c>
      <c r="D4" s="71" t="s">
        <v>22</v>
      </c>
      <c r="E4" s="71" t="s">
        <v>81</v>
      </c>
      <c r="F4" s="71" t="s">
        <v>82</v>
      </c>
      <c r="G4" s="71" t="s">
        <v>22</v>
      </c>
      <c r="H4" s="71" t="s">
        <v>83</v>
      </c>
      <c r="I4" s="71" t="s">
        <v>84</v>
      </c>
      <c r="J4" s="71" t="s">
        <v>22</v>
      </c>
      <c r="K4" s="71" t="s">
        <v>85</v>
      </c>
      <c r="L4" s="72" t="s">
        <v>179</v>
      </c>
      <c r="M4" s="217" t="s">
        <v>211</v>
      </c>
      <c r="N4" s="71" t="s">
        <v>22</v>
      </c>
      <c r="O4" s="256"/>
      <c r="P4" s="69" t="s">
        <v>142</v>
      </c>
      <c r="Q4" s="63" t="s">
        <v>143</v>
      </c>
      <c r="R4" s="63" t="s">
        <v>144</v>
      </c>
    </row>
    <row r="5" spans="1:18">
      <c r="A5" s="157" t="s">
        <v>14</v>
      </c>
      <c r="B5" s="158">
        <f>SUM(B6:B47)</f>
        <v>117000</v>
      </c>
      <c r="C5" s="158">
        <f t="shared" ref="C5:M5" si="0">SUM(C6:C47)</f>
        <v>69680</v>
      </c>
      <c r="D5" s="158">
        <f t="shared" si="0"/>
        <v>186680</v>
      </c>
      <c r="E5" s="158">
        <f t="shared" si="0"/>
        <v>31700</v>
      </c>
      <c r="F5" s="158">
        <f t="shared" si="0"/>
        <v>73000</v>
      </c>
      <c r="G5" s="158">
        <f t="shared" si="0"/>
        <v>104700</v>
      </c>
      <c r="H5" s="158">
        <f t="shared" si="0"/>
        <v>82650</v>
      </c>
      <c r="I5" s="158">
        <f t="shared" si="0"/>
        <v>21300</v>
      </c>
      <c r="J5" s="158">
        <f t="shared" si="0"/>
        <v>103950</v>
      </c>
      <c r="K5" s="158">
        <f t="shared" si="0"/>
        <v>500</v>
      </c>
      <c r="L5" s="158">
        <f t="shared" si="0"/>
        <v>15800</v>
      </c>
      <c r="M5" s="158">
        <f t="shared" si="0"/>
        <v>70300</v>
      </c>
      <c r="N5" s="158">
        <f>SUM(N6:N47)</f>
        <v>86600</v>
      </c>
      <c r="O5" s="159">
        <f>SUM(O6:O47)</f>
        <v>481930</v>
      </c>
      <c r="P5" s="70">
        <f>SUM(P6:P56)</f>
        <v>2900</v>
      </c>
      <c r="Q5" s="64">
        <f>SUM(Q6:Q56)</f>
        <v>500</v>
      </c>
      <c r="R5" s="64">
        <f>SUM(R6:R56)</f>
        <v>4100</v>
      </c>
    </row>
    <row r="6" spans="1:18">
      <c r="A6" s="160" t="s">
        <v>19</v>
      </c>
      <c r="B6" s="161">
        <v>0</v>
      </c>
      <c r="C6" s="161">
        <f>VLOOKUP(A6,일용임금!$A$6:$P$47,16,FALSE)</f>
        <v>2710</v>
      </c>
      <c r="D6" s="162">
        <f>SUM(B6:C6)</f>
        <v>2710</v>
      </c>
      <c r="E6" s="161">
        <v>0</v>
      </c>
      <c r="F6" s="167">
        <f>VLOOKUP(A6,일반수용비!$A$6:$O$47,15,FALSE)</f>
        <v>4000</v>
      </c>
      <c r="G6" s="163">
        <f t="shared" ref="G6:G21" si="1">SUM(E6:F6)</f>
        <v>4000</v>
      </c>
      <c r="H6" s="167"/>
      <c r="I6" s="161">
        <f>VLOOKUP(A6,특근매식비!$A$6:$N$47,14,FALSE)</f>
        <v>2600</v>
      </c>
      <c r="J6" s="163">
        <f>SUM(H6:I6)</f>
        <v>2600</v>
      </c>
      <c r="K6" s="167">
        <f>VLOOKUP(A6,임차비!$A$6:$N$47,14,FALSE)</f>
        <v>0</v>
      </c>
      <c r="L6" s="161"/>
      <c r="M6" s="161">
        <f>VLOOKUP(A6,임차비!$A$6:$N$47,13,FALSE)</f>
        <v>4400</v>
      </c>
      <c r="N6" s="164">
        <f>SUM(K6:M6)</f>
        <v>4400</v>
      </c>
      <c r="O6" s="165">
        <f>SUM(D6,G6,J6,N6)</f>
        <v>13710</v>
      </c>
      <c r="P6" s="70"/>
      <c r="Q6" s="64"/>
      <c r="R6" s="64"/>
    </row>
    <row r="7" spans="1:18">
      <c r="A7" s="166" t="s">
        <v>11</v>
      </c>
      <c r="B7" s="167">
        <v>0</v>
      </c>
      <c r="C7" s="161">
        <f>VLOOKUP(A7,일용임금!$A$6:$P$47,16,FALSE)</f>
        <v>1460</v>
      </c>
      <c r="D7" s="168">
        <f>SUM(B7:C7)</f>
        <v>1460</v>
      </c>
      <c r="E7" s="167">
        <v>0</v>
      </c>
      <c r="F7" s="167">
        <f>VLOOKUP(A7,일반수용비!$A$6:$O$47,15,FALSE)</f>
        <v>2000</v>
      </c>
      <c r="G7" s="163">
        <f t="shared" si="1"/>
        <v>2000</v>
      </c>
      <c r="H7" s="167"/>
      <c r="I7" s="161">
        <f>VLOOKUP(A7,특근매식비!$A$6:$N$47,14,FALSE)</f>
        <v>1800</v>
      </c>
      <c r="J7" s="169">
        <f>SUM(H7:I7)</f>
        <v>1800</v>
      </c>
      <c r="K7" s="167">
        <f>VLOOKUP(A7,임차비!$A$6:$N$47,14,FALSE)</f>
        <v>0</v>
      </c>
      <c r="L7" s="161"/>
      <c r="M7" s="161">
        <f>VLOOKUP(A7,임차비!$A$6:$N$47,13,FALSE)</f>
        <v>2900</v>
      </c>
      <c r="N7" s="164">
        <f>SUM(K7:M7)</f>
        <v>2900</v>
      </c>
      <c r="O7" s="170">
        <f t="shared" ref="O7:O49" si="2">SUM(D7,G7,J7,N7)</f>
        <v>8160</v>
      </c>
      <c r="P7" s="70"/>
      <c r="Q7" s="64"/>
      <c r="R7" s="64"/>
    </row>
    <row r="8" spans="1:18">
      <c r="A8" s="166" t="s">
        <v>33</v>
      </c>
      <c r="B8" s="167">
        <v>0</v>
      </c>
      <c r="C8" s="161">
        <f>VLOOKUP(A8,일용임금!$A$6:$P$47,16,FALSE)</f>
        <v>1810</v>
      </c>
      <c r="D8" s="168">
        <f t="shared" ref="D8:D55" si="3">SUM(B8:C8)</f>
        <v>1810</v>
      </c>
      <c r="E8" s="167">
        <v>0</v>
      </c>
      <c r="F8" s="167">
        <f>VLOOKUP(A8,일반수용비!$A$6:$O$47,15,FALSE)</f>
        <v>2100</v>
      </c>
      <c r="G8" s="163">
        <f t="shared" si="1"/>
        <v>2100</v>
      </c>
      <c r="H8" s="167"/>
      <c r="I8" s="161">
        <f>VLOOKUP(A8,특근매식비!$A$6:$N$47,14,FALSE)</f>
        <v>1900</v>
      </c>
      <c r="J8" s="169">
        <f t="shared" ref="J8:J47" si="4">SUM(H8:I8)</f>
        <v>1900</v>
      </c>
      <c r="K8" s="167">
        <f>VLOOKUP(A8,임차비!$A$6:$N$47,14,FALSE)</f>
        <v>0</v>
      </c>
      <c r="L8" s="161"/>
      <c r="M8" s="161">
        <f>VLOOKUP(A8,임차비!$A$6:$N$47,13,FALSE)</f>
        <v>3200</v>
      </c>
      <c r="N8" s="164">
        <f t="shared" ref="N8:N46" si="5">SUM(K8:M8)</f>
        <v>3200</v>
      </c>
      <c r="O8" s="170">
        <f t="shared" si="2"/>
        <v>9010</v>
      </c>
      <c r="P8" s="70"/>
      <c r="Q8" s="64"/>
      <c r="R8" s="64"/>
    </row>
    <row r="9" spans="1:18">
      <c r="A9" s="166" t="s">
        <v>28</v>
      </c>
      <c r="B9" s="167">
        <v>0</v>
      </c>
      <c r="C9" s="161">
        <f>VLOOKUP(A9,일용임금!$A$6:$P$47,16,FALSE)</f>
        <v>3320</v>
      </c>
      <c r="D9" s="168">
        <f t="shared" si="3"/>
        <v>3320</v>
      </c>
      <c r="E9" s="167">
        <v>0</v>
      </c>
      <c r="F9" s="167">
        <f>VLOOKUP(A9,일반수용비!$A$6:$O$47,15,FALSE)</f>
        <v>3500</v>
      </c>
      <c r="G9" s="163">
        <f t="shared" si="1"/>
        <v>3500</v>
      </c>
      <c r="H9" s="167"/>
      <c r="I9" s="161">
        <f>VLOOKUP(A9,특근매식비!$A$6:$N$47,14,FALSE)</f>
        <v>3100</v>
      </c>
      <c r="J9" s="169">
        <f t="shared" si="4"/>
        <v>3100</v>
      </c>
      <c r="K9" s="167">
        <f>VLOOKUP(A9,임차비!$A$6:$N$47,14,FALSE)</f>
        <v>0</v>
      </c>
      <c r="L9" s="161"/>
      <c r="M9" s="161">
        <f>VLOOKUP(A9,임차비!$A$6:$N$47,13,FALSE)</f>
        <v>5200</v>
      </c>
      <c r="N9" s="164">
        <f t="shared" si="5"/>
        <v>5200</v>
      </c>
      <c r="O9" s="170">
        <f t="shared" si="2"/>
        <v>15120</v>
      </c>
      <c r="P9" s="70"/>
      <c r="Q9" s="64"/>
      <c r="R9" s="64"/>
    </row>
    <row r="10" spans="1:18">
      <c r="A10" s="166" t="s">
        <v>59</v>
      </c>
      <c r="B10" s="167">
        <v>0</v>
      </c>
      <c r="C10" s="161">
        <f>VLOOKUP(A10,일용임금!$A$6:$P$47,16,FALSE)</f>
        <v>2540</v>
      </c>
      <c r="D10" s="168">
        <f t="shared" si="3"/>
        <v>2540</v>
      </c>
      <c r="E10" s="167">
        <v>0</v>
      </c>
      <c r="F10" s="167">
        <f>VLOOKUP(A10,일반수용비!$A$6:$O$47,15,FALSE)</f>
        <v>2100</v>
      </c>
      <c r="G10" s="163">
        <f t="shared" si="1"/>
        <v>2100</v>
      </c>
      <c r="H10" s="167"/>
      <c r="I10" s="161">
        <f>VLOOKUP(A10,특근매식비!$A$6:$N$47,14,FALSE)</f>
        <v>1900</v>
      </c>
      <c r="J10" s="169">
        <f t="shared" si="4"/>
        <v>1900</v>
      </c>
      <c r="K10" s="167">
        <f>VLOOKUP(A10,임차비!$A$6:$N$47,14,FALSE)</f>
        <v>0</v>
      </c>
      <c r="L10" s="161"/>
      <c r="M10" s="161">
        <f>VLOOKUP(A10,임차비!$A$6:$N$47,13,FALSE)</f>
        <v>2500</v>
      </c>
      <c r="N10" s="164">
        <f t="shared" si="5"/>
        <v>2500</v>
      </c>
      <c r="O10" s="170">
        <f t="shared" si="2"/>
        <v>9040</v>
      </c>
      <c r="P10" s="70"/>
      <c r="Q10" s="64"/>
      <c r="R10" s="64"/>
    </row>
    <row r="11" spans="1:18">
      <c r="A11" s="166" t="s">
        <v>57</v>
      </c>
      <c r="B11" s="167">
        <v>0</v>
      </c>
      <c r="C11" s="161">
        <f>VLOOKUP(A11,일용임금!$A$6:$P$47,16,FALSE)</f>
        <v>2540</v>
      </c>
      <c r="D11" s="168">
        <f t="shared" si="3"/>
        <v>2540</v>
      </c>
      <c r="E11" s="167">
        <v>0</v>
      </c>
      <c r="F11" s="167">
        <f>VLOOKUP(A11,일반수용비!$A$6:$O$47,15,FALSE)</f>
        <v>2100</v>
      </c>
      <c r="G11" s="163">
        <f t="shared" si="1"/>
        <v>2100</v>
      </c>
      <c r="H11" s="167"/>
      <c r="I11" s="161">
        <f>VLOOKUP(A11,특근매식비!$A$6:$N$47,14,FALSE)</f>
        <v>1800</v>
      </c>
      <c r="J11" s="169">
        <f t="shared" si="4"/>
        <v>1800</v>
      </c>
      <c r="K11" s="167">
        <f>VLOOKUP(A11,임차비!$A$6:$N$47,14,FALSE)</f>
        <v>0</v>
      </c>
      <c r="L11" s="161"/>
      <c r="M11" s="161">
        <f>VLOOKUP(A11,임차비!$A$6:$N$47,13,FALSE)</f>
        <v>2800</v>
      </c>
      <c r="N11" s="164">
        <f t="shared" si="5"/>
        <v>2800</v>
      </c>
      <c r="O11" s="170">
        <f t="shared" si="2"/>
        <v>9240</v>
      </c>
      <c r="P11" s="70"/>
      <c r="Q11" s="64"/>
      <c r="R11" s="64"/>
    </row>
    <row r="12" spans="1:18">
      <c r="A12" s="166" t="s">
        <v>53</v>
      </c>
      <c r="B12" s="167">
        <v>0</v>
      </c>
      <c r="C12" s="161">
        <f>VLOOKUP(A12,일용임금!$A$6:$P$47,16,FALSE)</f>
        <v>1810</v>
      </c>
      <c r="D12" s="168">
        <f t="shared" si="3"/>
        <v>1810</v>
      </c>
      <c r="E12" s="167">
        <v>0</v>
      </c>
      <c r="F12" s="167">
        <f>VLOOKUP(A12,일반수용비!$A$6:$O$47,15,FALSE)</f>
        <v>2400</v>
      </c>
      <c r="G12" s="163">
        <f t="shared" si="1"/>
        <v>2400</v>
      </c>
      <c r="H12" s="167"/>
      <c r="I12" s="161">
        <f>VLOOKUP(A12,특근매식비!$A$6:$N$47,14,FALSE)</f>
        <v>2200</v>
      </c>
      <c r="J12" s="169">
        <f t="shared" si="4"/>
        <v>2200</v>
      </c>
      <c r="K12" s="167">
        <f>VLOOKUP(A12,임차비!$A$6:$N$47,14,FALSE)</f>
        <v>0</v>
      </c>
      <c r="L12" s="161"/>
      <c r="M12" s="161">
        <f>VLOOKUP(A12,임차비!$A$6:$N$47,13,FALSE)</f>
        <v>2800</v>
      </c>
      <c r="N12" s="164">
        <f t="shared" si="5"/>
        <v>2800</v>
      </c>
      <c r="O12" s="170">
        <f t="shared" si="2"/>
        <v>9210</v>
      </c>
      <c r="P12" s="70"/>
      <c r="Q12" s="64"/>
      <c r="R12" s="64"/>
    </row>
    <row r="13" spans="1:18">
      <c r="A13" s="166" t="s">
        <v>7</v>
      </c>
      <c r="B13" s="167">
        <v>0</v>
      </c>
      <c r="C13" s="161">
        <f>VLOOKUP(A13,일용임금!$A$6:$P$47,16,FALSE)</f>
        <v>4520</v>
      </c>
      <c r="D13" s="168">
        <f t="shared" si="3"/>
        <v>4520</v>
      </c>
      <c r="E13" s="167">
        <v>0</v>
      </c>
      <c r="F13" s="167">
        <f>VLOOKUP(A13,일반수용비!$A$6:$O$47,15,FALSE)</f>
        <v>3300</v>
      </c>
      <c r="G13" s="163">
        <f t="shared" si="1"/>
        <v>3300</v>
      </c>
      <c r="H13" s="167"/>
      <c r="I13" s="161">
        <f>VLOOKUP(A13,특근매식비!$A$6:$N$47,14,FALSE)</f>
        <v>2900</v>
      </c>
      <c r="J13" s="169">
        <f t="shared" si="4"/>
        <v>2900</v>
      </c>
      <c r="K13" s="167">
        <f>VLOOKUP(A13,임차비!$A$6:$N$47,14,FALSE)</f>
        <v>0</v>
      </c>
      <c r="L13" s="161"/>
      <c r="M13" s="161">
        <f>VLOOKUP(A13,임차비!$A$6:$N$47,13,FALSE)</f>
        <v>6600</v>
      </c>
      <c r="N13" s="164">
        <f t="shared" si="5"/>
        <v>6600</v>
      </c>
      <c r="O13" s="170">
        <f t="shared" si="2"/>
        <v>17320</v>
      </c>
      <c r="P13" s="70">
        <v>900</v>
      </c>
      <c r="Q13" s="64"/>
      <c r="R13" s="64"/>
    </row>
    <row r="14" spans="1:18">
      <c r="A14" s="166" t="s">
        <v>25</v>
      </c>
      <c r="B14" s="167">
        <v>0</v>
      </c>
      <c r="C14" s="161">
        <f>VLOOKUP(A14,일용임금!$A$6:$P$47,16,FALSE)</f>
        <v>1210</v>
      </c>
      <c r="D14" s="168">
        <f t="shared" si="3"/>
        <v>1210</v>
      </c>
      <c r="E14" s="167">
        <v>0</v>
      </c>
      <c r="F14" s="167">
        <f>VLOOKUP(A14,일반수용비!$A$6:$O$47,15,FALSE)</f>
        <v>1800</v>
      </c>
      <c r="G14" s="163">
        <f t="shared" si="1"/>
        <v>1800</v>
      </c>
      <c r="H14" s="167"/>
      <c r="I14" s="161">
        <f>VLOOKUP(A14,특근매식비!$A$6:$N$47,14,FALSE)</f>
        <v>1600</v>
      </c>
      <c r="J14" s="169">
        <f t="shared" si="4"/>
        <v>1600</v>
      </c>
      <c r="K14" s="167">
        <f>VLOOKUP(A14,임차비!$A$6:$N$47,14,FALSE)</f>
        <v>0</v>
      </c>
      <c r="L14" s="161"/>
      <c r="M14" s="161">
        <f>VLOOKUP(A14,임차비!$A$6:$N$47,13,FALSE)</f>
        <v>4100</v>
      </c>
      <c r="N14" s="164">
        <f t="shared" si="5"/>
        <v>4100</v>
      </c>
      <c r="O14" s="170">
        <f t="shared" si="2"/>
        <v>8710</v>
      </c>
      <c r="P14" s="70">
        <v>300</v>
      </c>
      <c r="Q14" s="64"/>
      <c r="R14" s="64"/>
    </row>
    <row r="15" spans="1:18">
      <c r="A15" s="166" t="s">
        <v>60</v>
      </c>
      <c r="B15" s="167">
        <v>0</v>
      </c>
      <c r="C15" s="161">
        <f>VLOOKUP(A15,일용임금!$A$6:$P$47,16,FALSE)</f>
        <v>1810</v>
      </c>
      <c r="D15" s="168">
        <f t="shared" si="3"/>
        <v>1810</v>
      </c>
      <c r="E15" s="167">
        <v>0</v>
      </c>
      <c r="F15" s="167">
        <f>VLOOKUP(A15,일반수용비!$A$6:$O$47,15,FALSE)</f>
        <v>1600</v>
      </c>
      <c r="G15" s="163">
        <f t="shared" si="1"/>
        <v>1600</v>
      </c>
      <c r="H15" s="167"/>
      <c r="I15" s="161">
        <f>VLOOKUP(A15,특근매식비!$A$6:$N$47,14,FALSE)</f>
        <v>1500</v>
      </c>
      <c r="J15" s="169">
        <f t="shared" si="4"/>
        <v>1500</v>
      </c>
      <c r="K15" s="167">
        <f>VLOOKUP(A15,임차비!$A$6:$N$47,14,FALSE)</f>
        <v>0</v>
      </c>
      <c r="L15" s="161"/>
      <c r="M15" s="161">
        <f>VLOOKUP(A15,임차비!$A$6:$N$47,13,FALSE)</f>
        <v>2600</v>
      </c>
      <c r="N15" s="164">
        <f t="shared" si="5"/>
        <v>2600</v>
      </c>
      <c r="O15" s="170">
        <f t="shared" si="2"/>
        <v>7510</v>
      </c>
      <c r="P15" s="70"/>
      <c r="Q15" s="64">
        <v>500</v>
      </c>
      <c r="R15" s="64"/>
    </row>
    <row r="16" spans="1:18">
      <c r="A16" s="166" t="s">
        <v>15</v>
      </c>
      <c r="B16" s="167">
        <v>0</v>
      </c>
      <c r="C16" s="161">
        <f>VLOOKUP(A16,일용임금!$A$6:$P$47,16,FALSE)</f>
        <v>1270</v>
      </c>
      <c r="D16" s="168">
        <f t="shared" si="3"/>
        <v>1270</v>
      </c>
      <c r="E16" s="167">
        <v>0</v>
      </c>
      <c r="F16" s="167">
        <f>VLOOKUP(A16,일반수용비!$A$6:$O$47,15,FALSE)</f>
        <v>1200</v>
      </c>
      <c r="G16" s="163">
        <f t="shared" si="1"/>
        <v>1200</v>
      </c>
      <c r="H16" s="167">
        <f>VLOOKUP(A16,특근매식비!$A$6:$N$47,14,FALSE)</f>
        <v>1100</v>
      </c>
      <c r="I16" s="161"/>
      <c r="J16" s="169">
        <f t="shared" si="4"/>
        <v>1100</v>
      </c>
      <c r="K16" s="167">
        <f>VLOOKUP(A16,임차비!$A$6:$N$47,14,FALSE)</f>
        <v>0</v>
      </c>
      <c r="L16" s="161"/>
      <c r="M16" s="161">
        <f>VLOOKUP(A16,임차비!$A$6:$N$47,13,FALSE)</f>
        <v>1200</v>
      </c>
      <c r="N16" s="164">
        <f t="shared" si="5"/>
        <v>1200</v>
      </c>
      <c r="O16" s="170">
        <f t="shared" si="2"/>
        <v>4770</v>
      </c>
      <c r="P16" s="70"/>
      <c r="Q16" s="64"/>
      <c r="R16" s="64"/>
    </row>
    <row r="17" spans="1:18">
      <c r="A17" s="166" t="s">
        <v>61</v>
      </c>
      <c r="B17" s="167">
        <v>0</v>
      </c>
      <c r="C17" s="161">
        <f>VLOOKUP(A17,일용임금!$A$6:$P$47,16,FALSE)</f>
        <v>610</v>
      </c>
      <c r="D17" s="168">
        <f t="shared" si="3"/>
        <v>610</v>
      </c>
      <c r="E17" s="167">
        <v>0</v>
      </c>
      <c r="F17" s="167">
        <f>VLOOKUP(A17,일반수용비!$A$6:$O$47,15,FALSE)</f>
        <v>1000</v>
      </c>
      <c r="G17" s="163">
        <f t="shared" si="1"/>
        <v>1000</v>
      </c>
      <c r="H17" s="167">
        <f>VLOOKUP(A17,특근매식비!$A$6:$N$47,14,FALSE)</f>
        <v>1000</v>
      </c>
      <c r="I17" s="161"/>
      <c r="J17" s="169">
        <f t="shared" si="4"/>
        <v>1000</v>
      </c>
      <c r="K17" s="167">
        <f>VLOOKUP(A17,임차비!$A$6:$N$47,14,FALSE)</f>
        <v>0</v>
      </c>
      <c r="L17" s="161">
        <f>VLOOKUP(A17,임차비!$A$6:$N$47,13,FALSE)</f>
        <v>1100</v>
      </c>
      <c r="M17" s="161"/>
      <c r="N17" s="164">
        <f t="shared" si="5"/>
        <v>1100</v>
      </c>
      <c r="O17" s="170">
        <f t="shared" si="2"/>
        <v>3710</v>
      </c>
      <c r="P17" s="70">
        <v>700</v>
      </c>
      <c r="Q17" s="64"/>
      <c r="R17" s="64"/>
    </row>
    <row r="18" spans="1:18">
      <c r="A18" s="166" t="s">
        <v>6</v>
      </c>
      <c r="B18" s="167">
        <v>0</v>
      </c>
      <c r="C18" s="161">
        <f>VLOOKUP(A18,일용임금!$A$6:$P$47,16,FALSE)</f>
        <v>5430</v>
      </c>
      <c r="D18" s="168">
        <f t="shared" si="3"/>
        <v>5430</v>
      </c>
      <c r="E18" s="167">
        <v>0</v>
      </c>
      <c r="F18" s="167">
        <f>VLOOKUP(A18,일반수용비!$A$6:$O$47,15,FALSE)</f>
        <v>4100</v>
      </c>
      <c r="G18" s="163">
        <f t="shared" si="1"/>
        <v>4100</v>
      </c>
      <c r="H18" s="167">
        <f>VLOOKUP(A18,특근매식비!$A$6:$N$47,14,FALSE)</f>
        <v>3600</v>
      </c>
      <c r="I18" s="167"/>
      <c r="J18" s="169">
        <f t="shared" si="4"/>
        <v>3600</v>
      </c>
      <c r="K18" s="167">
        <f>VLOOKUP(A18,임차비!$A$6:$N$47,14,FALSE)</f>
        <v>0</v>
      </c>
      <c r="L18" s="161"/>
      <c r="M18" s="161">
        <f>VLOOKUP(A18,임차비!$A$6:$N$47,13,FALSE)</f>
        <v>5900</v>
      </c>
      <c r="N18" s="164">
        <f t="shared" si="5"/>
        <v>5900</v>
      </c>
      <c r="O18" s="170">
        <f t="shared" si="2"/>
        <v>19030</v>
      </c>
      <c r="P18" s="70"/>
      <c r="Q18" s="64"/>
      <c r="R18" s="64"/>
    </row>
    <row r="19" spans="1:18">
      <c r="A19" s="166" t="s">
        <v>39</v>
      </c>
      <c r="B19" s="167">
        <v>0</v>
      </c>
      <c r="C19" s="161">
        <f>VLOOKUP(A19,일용임금!$A$6:$P$47,16,FALSE)</f>
        <v>4820</v>
      </c>
      <c r="D19" s="168">
        <f t="shared" si="3"/>
        <v>4820</v>
      </c>
      <c r="E19" s="167">
        <v>0</v>
      </c>
      <c r="F19" s="167">
        <f>VLOOKUP(A19,일반수용비!$A$6:$O$47,15,FALSE)</f>
        <v>3800</v>
      </c>
      <c r="G19" s="163">
        <f t="shared" si="1"/>
        <v>3800</v>
      </c>
      <c r="H19" s="167">
        <f>VLOOKUP(A19,특근매식비!$A$6:$N$47,14,FALSE)</f>
        <v>3200</v>
      </c>
      <c r="I19" s="167">
        <v>0</v>
      </c>
      <c r="J19" s="169">
        <f t="shared" si="4"/>
        <v>3200</v>
      </c>
      <c r="K19" s="167">
        <f>VLOOKUP(A19,임차비!$A$6:$N$47,14,FALSE)</f>
        <v>0</v>
      </c>
      <c r="L19" s="161"/>
      <c r="M19" s="161">
        <f>VLOOKUP(A19,임차비!$A$6:$N$47,13,FALSE)</f>
        <v>5600</v>
      </c>
      <c r="N19" s="164">
        <f t="shared" si="5"/>
        <v>5600</v>
      </c>
      <c r="O19" s="170">
        <f t="shared" si="2"/>
        <v>17420</v>
      </c>
      <c r="P19" s="70"/>
      <c r="Q19" s="64"/>
      <c r="R19" s="64"/>
    </row>
    <row r="20" spans="1:18">
      <c r="A20" s="166" t="s">
        <v>29</v>
      </c>
      <c r="B20" s="167">
        <v>0</v>
      </c>
      <c r="C20" s="161">
        <f>VLOOKUP(A20,일용임금!$A$6:$P$47,16,FALSE)</f>
        <v>1450</v>
      </c>
      <c r="D20" s="168">
        <f t="shared" si="3"/>
        <v>1450</v>
      </c>
      <c r="E20" s="167">
        <v>0</v>
      </c>
      <c r="F20" s="167">
        <f>VLOOKUP(A20,일반수용비!$A$6:$O$47,15,FALSE)</f>
        <v>1500</v>
      </c>
      <c r="G20" s="163">
        <f t="shared" si="1"/>
        <v>1500</v>
      </c>
      <c r="H20" s="167">
        <f>VLOOKUP(A20,특근매식비!$A$6:$N$47,14,FALSE)</f>
        <v>1650</v>
      </c>
      <c r="I20" s="167">
        <v>0</v>
      </c>
      <c r="J20" s="169">
        <f t="shared" si="4"/>
        <v>1650</v>
      </c>
      <c r="K20" s="167">
        <f>VLOOKUP(A20,임차비!$A$6:$N$47,14,FALSE)</f>
        <v>0</v>
      </c>
      <c r="L20" s="161">
        <f>VLOOKUP(A20,임차비!$A$6:$N$47,13,FALSE)</f>
        <v>2100</v>
      </c>
      <c r="M20" s="161"/>
      <c r="N20" s="164">
        <f t="shared" si="5"/>
        <v>2100</v>
      </c>
      <c r="O20" s="170">
        <f t="shared" si="2"/>
        <v>6700</v>
      </c>
      <c r="P20" s="70"/>
      <c r="Q20" s="64"/>
      <c r="R20" s="64"/>
    </row>
    <row r="21" spans="1:18">
      <c r="A21" s="166" t="s">
        <v>37</v>
      </c>
      <c r="B21" s="167">
        <v>0</v>
      </c>
      <c r="C21" s="161">
        <f>VLOOKUP(A21,일용임금!$A$6:$P$47,16,FALSE)</f>
        <v>3020</v>
      </c>
      <c r="D21" s="168">
        <f t="shared" si="3"/>
        <v>3020</v>
      </c>
      <c r="E21" s="167">
        <v>0</v>
      </c>
      <c r="F21" s="167">
        <f>VLOOKUP(A21,일반수용비!$A$6:$O$47,15,FALSE)</f>
        <v>3300</v>
      </c>
      <c r="G21" s="163">
        <f t="shared" si="1"/>
        <v>3300</v>
      </c>
      <c r="H21" s="167">
        <f>VLOOKUP(A21,특근매식비!$A$6:$N$47,14,FALSE)</f>
        <v>3000</v>
      </c>
      <c r="I21" s="167">
        <v>0</v>
      </c>
      <c r="J21" s="169">
        <f t="shared" si="4"/>
        <v>3000</v>
      </c>
      <c r="K21" s="167">
        <f>VLOOKUP(A21,임차비!$A$6:$N$47,14,FALSE)</f>
        <v>0</v>
      </c>
      <c r="L21" s="161"/>
      <c r="M21" s="161">
        <f>VLOOKUP(A21,임차비!$A$6:$N$47,13,FALSE)</f>
        <v>3900</v>
      </c>
      <c r="N21" s="164">
        <f t="shared" si="5"/>
        <v>3900</v>
      </c>
      <c r="O21" s="170">
        <f t="shared" si="2"/>
        <v>13220</v>
      </c>
      <c r="P21" s="70"/>
      <c r="Q21" s="64"/>
      <c r="R21" s="64"/>
    </row>
    <row r="22" spans="1:18">
      <c r="A22" s="166" t="s">
        <v>2</v>
      </c>
      <c r="B22" s="167">
        <v>0</v>
      </c>
      <c r="C22" s="161">
        <f>VLOOKUP(A22,일용임금!$A$6:$P$47,16,FALSE)</f>
        <v>500</v>
      </c>
      <c r="D22" s="168">
        <f t="shared" si="3"/>
        <v>500</v>
      </c>
      <c r="E22" s="167">
        <v>0</v>
      </c>
      <c r="F22" s="167">
        <f>VLOOKUP(A22,일반수용비!$A$6:$O$47,15,FALSE)</f>
        <v>1400</v>
      </c>
      <c r="G22" s="169">
        <f t="shared" ref="G22:G47" si="6">SUM(E22:F22)</f>
        <v>1400</v>
      </c>
      <c r="H22" s="167">
        <f>VLOOKUP(A22,특근매식비!$A$6:$N$47,14,FALSE)</f>
        <v>1300</v>
      </c>
      <c r="I22" s="167">
        <v>0</v>
      </c>
      <c r="J22" s="169">
        <f t="shared" si="4"/>
        <v>1300</v>
      </c>
      <c r="K22" s="167">
        <f>VLOOKUP(A22,임차비!$A$6:$N$47,14,FALSE)</f>
        <v>0</v>
      </c>
      <c r="L22" s="161">
        <f>VLOOKUP(A22,임차비!$A$6:$N$47,13,FALSE)</f>
        <v>1400</v>
      </c>
      <c r="M22" s="161"/>
      <c r="N22" s="164">
        <f t="shared" si="5"/>
        <v>1400</v>
      </c>
      <c r="O22" s="170">
        <f t="shared" si="2"/>
        <v>4600</v>
      </c>
      <c r="P22" s="70"/>
      <c r="Q22" s="65"/>
      <c r="R22" s="64"/>
    </row>
    <row r="23" spans="1:18">
      <c r="A23" s="166" t="s">
        <v>3</v>
      </c>
      <c r="B23" s="167">
        <v>0</v>
      </c>
      <c r="C23" s="161">
        <f>VLOOKUP(A23,일용임금!$A$6:$P$47,16,FALSE)</f>
        <v>5430</v>
      </c>
      <c r="D23" s="168">
        <f t="shared" si="3"/>
        <v>5430</v>
      </c>
      <c r="E23" s="167">
        <v>0</v>
      </c>
      <c r="F23" s="167">
        <f>VLOOKUP(A23,일반수용비!$A$6:$O$47,15,FALSE)</f>
        <v>4100</v>
      </c>
      <c r="G23" s="169">
        <f t="shared" si="6"/>
        <v>4100</v>
      </c>
      <c r="H23" s="167">
        <f>VLOOKUP(A23,특근매식비!$A$6:$N$47,14,FALSE)</f>
        <v>3500</v>
      </c>
      <c r="I23" s="167">
        <v>0</v>
      </c>
      <c r="J23" s="169">
        <f t="shared" si="4"/>
        <v>3500</v>
      </c>
      <c r="K23" s="167">
        <f>VLOOKUP(A23,임차비!$A$6:$N$47,14,FALSE)</f>
        <v>0</v>
      </c>
      <c r="L23" s="161"/>
      <c r="M23" s="161">
        <f>VLOOKUP(A23,임차비!$A$6:$N$47,13,FALSE)</f>
        <v>4900</v>
      </c>
      <c r="N23" s="164">
        <f t="shared" si="5"/>
        <v>4900</v>
      </c>
      <c r="O23" s="170">
        <f t="shared" si="2"/>
        <v>17930</v>
      </c>
      <c r="P23" s="70"/>
      <c r="Q23" s="65"/>
      <c r="R23" s="64"/>
    </row>
    <row r="24" spans="1:18">
      <c r="A24" s="166" t="s">
        <v>5</v>
      </c>
      <c r="B24" s="167">
        <v>0</v>
      </c>
      <c r="C24" s="161">
        <f>VLOOKUP(A24,일용임금!$A$6:$P$47,16,FALSE)</f>
        <v>5800</v>
      </c>
      <c r="D24" s="168">
        <f t="shared" si="3"/>
        <v>5800</v>
      </c>
      <c r="E24" s="167">
        <v>0</v>
      </c>
      <c r="F24" s="167">
        <f>VLOOKUP(A24,일반수용비!$A$6:$O$47,15,FALSE)</f>
        <v>4000</v>
      </c>
      <c r="G24" s="169">
        <f t="shared" si="6"/>
        <v>4000</v>
      </c>
      <c r="H24" s="167">
        <f>VLOOKUP(A24,특근매식비!$A$6:$N$47,14,FALSE)</f>
        <v>3600</v>
      </c>
      <c r="I24" s="167">
        <v>0</v>
      </c>
      <c r="J24" s="169">
        <f t="shared" si="4"/>
        <v>3600</v>
      </c>
      <c r="K24" s="167">
        <f>VLOOKUP(A24,임차비!$A$6:$N$47,14,FALSE)</f>
        <v>0</v>
      </c>
      <c r="L24" s="161"/>
      <c r="M24" s="161">
        <f>VLOOKUP(A24,임차비!$A$6:$N$47,13,FALSE)</f>
        <v>5700</v>
      </c>
      <c r="N24" s="164">
        <f t="shared" si="5"/>
        <v>5700</v>
      </c>
      <c r="O24" s="170">
        <f t="shared" si="2"/>
        <v>19100</v>
      </c>
      <c r="P24" s="70">
        <v>1000</v>
      </c>
      <c r="Q24" s="64"/>
      <c r="R24" s="64"/>
    </row>
    <row r="25" spans="1:18">
      <c r="A25" s="166" t="s">
        <v>23</v>
      </c>
      <c r="B25" s="167">
        <v>0</v>
      </c>
      <c r="C25" s="161">
        <f>VLOOKUP(A25,일용임금!$A$6:$P$47,16,FALSE)</f>
        <v>3320</v>
      </c>
      <c r="D25" s="168">
        <f t="shared" si="3"/>
        <v>3320</v>
      </c>
      <c r="E25" s="167">
        <v>0</v>
      </c>
      <c r="F25" s="167">
        <f>VLOOKUP(A25,일반수용비!$A$6:$O$47,15,FALSE)</f>
        <v>3400</v>
      </c>
      <c r="G25" s="169">
        <f t="shared" si="6"/>
        <v>3400</v>
      </c>
      <c r="H25" s="167">
        <f>VLOOKUP(A25,특근매식비!$A$6:$N$47,14,FALSE)</f>
        <v>2200</v>
      </c>
      <c r="I25" s="167">
        <v>0</v>
      </c>
      <c r="J25" s="169">
        <f t="shared" si="4"/>
        <v>2200</v>
      </c>
      <c r="K25" s="167">
        <f>VLOOKUP(A25,임차비!$A$6:$N$47,14,FALSE)</f>
        <v>0</v>
      </c>
      <c r="L25" s="161"/>
      <c r="M25" s="161">
        <f>VLOOKUP(A25,임차비!$A$6:$N$47,13,FALSE)</f>
        <v>3700</v>
      </c>
      <c r="N25" s="164">
        <f t="shared" si="5"/>
        <v>3700</v>
      </c>
      <c r="O25" s="170">
        <f t="shared" si="2"/>
        <v>12620</v>
      </c>
      <c r="P25" s="70"/>
      <c r="Q25" s="64"/>
      <c r="R25" s="64">
        <v>400</v>
      </c>
    </row>
    <row r="26" spans="1:18">
      <c r="A26" s="166" t="s">
        <v>40</v>
      </c>
      <c r="B26" s="167">
        <v>0</v>
      </c>
      <c r="C26" s="161">
        <f>VLOOKUP(A26,일용임금!$A$6:$P$47,16,FALSE)</f>
        <v>2720</v>
      </c>
      <c r="D26" s="168">
        <f t="shared" si="3"/>
        <v>2720</v>
      </c>
      <c r="E26" s="167">
        <v>0</v>
      </c>
      <c r="F26" s="167">
        <f>VLOOKUP(A26,일반수용비!$A$6:$O$47,15,FALSE)</f>
        <v>2300</v>
      </c>
      <c r="G26" s="169">
        <f t="shared" si="6"/>
        <v>2300</v>
      </c>
      <c r="H26" s="167">
        <f>VLOOKUP(A26,특근매식비!$A$6:$N$47,14,FALSE)</f>
        <v>2100</v>
      </c>
      <c r="I26" s="167">
        <v>0</v>
      </c>
      <c r="J26" s="169">
        <f t="shared" si="4"/>
        <v>2100</v>
      </c>
      <c r="K26" s="167">
        <f>VLOOKUP(A26,임차비!$A$6:$N$47,14,FALSE)</f>
        <v>0</v>
      </c>
      <c r="L26" s="161">
        <f>VLOOKUP(A26,임차비!$A$6:$N$47,13,FALSE)</f>
        <v>2800</v>
      </c>
      <c r="M26" s="161"/>
      <c r="N26" s="164">
        <f t="shared" si="5"/>
        <v>2800</v>
      </c>
      <c r="O26" s="170">
        <f t="shared" si="2"/>
        <v>9920</v>
      </c>
      <c r="P26" s="70"/>
      <c r="Q26" s="64"/>
      <c r="R26" s="64">
        <v>1800</v>
      </c>
    </row>
    <row r="27" spans="1:18">
      <c r="A27" s="166" t="s">
        <v>31</v>
      </c>
      <c r="B27" s="167">
        <v>0</v>
      </c>
      <c r="C27" s="161">
        <f>VLOOKUP(A27,일용임금!$A$6:$P$47,16,FALSE)</f>
        <v>1810</v>
      </c>
      <c r="D27" s="168">
        <f t="shared" si="3"/>
        <v>1810</v>
      </c>
      <c r="E27" s="167">
        <v>0</v>
      </c>
      <c r="F27" s="167">
        <f>VLOOKUP(A27,일반수용비!$A$6:$O$47,15,FALSE)</f>
        <v>1800</v>
      </c>
      <c r="G27" s="169">
        <f t="shared" si="6"/>
        <v>1800</v>
      </c>
      <c r="H27" s="167">
        <f>VLOOKUP(A27,특근매식비!$A$6:$N$47,14,FALSE)</f>
        <v>1600</v>
      </c>
      <c r="I27" s="167">
        <v>0</v>
      </c>
      <c r="J27" s="169">
        <f t="shared" si="4"/>
        <v>1600</v>
      </c>
      <c r="K27" s="167">
        <f>VLOOKUP(A27,임차비!$A$6:$N$47,14,FALSE)</f>
        <v>0</v>
      </c>
      <c r="L27" s="161"/>
      <c r="M27" s="161">
        <f>VLOOKUP(A27,임차비!$A$6:$N$47,13,FALSE)</f>
        <v>1000</v>
      </c>
      <c r="N27" s="164">
        <f t="shared" si="5"/>
        <v>1000</v>
      </c>
      <c r="O27" s="170">
        <f t="shared" si="2"/>
        <v>6210</v>
      </c>
      <c r="P27" s="70"/>
      <c r="Q27" s="64"/>
      <c r="R27" s="64"/>
    </row>
    <row r="28" spans="1:18">
      <c r="A28" s="166" t="s">
        <v>64</v>
      </c>
      <c r="B28" s="167">
        <v>0</v>
      </c>
      <c r="C28" s="161">
        <f>VLOOKUP(A28,일용임금!$A$6:$P$47,16,FALSE)</f>
        <v>2410</v>
      </c>
      <c r="D28" s="168">
        <f t="shared" si="3"/>
        <v>2410</v>
      </c>
      <c r="E28" s="167">
        <v>0</v>
      </c>
      <c r="F28" s="167">
        <f>VLOOKUP(A28,일반수용비!$A$6:$O$47,15,FALSE)</f>
        <v>1500</v>
      </c>
      <c r="G28" s="169">
        <f t="shared" si="6"/>
        <v>1500</v>
      </c>
      <c r="H28" s="167">
        <f>VLOOKUP(A28,특근매식비!$A$6:$N$47,14,FALSE)</f>
        <v>1300</v>
      </c>
      <c r="I28" s="167">
        <v>0</v>
      </c>
      <c r="J28" s="169">
        <f t="shared" si="4"/>
        <v>1300</v>
      </c>
      <c r="K28" s="167">
        <f>VLOOKUP(A28,임차비!$A$6:$N$47,14,FALSE)</f>
        <v>0</v>
      </c>
      <c r="L28" s="161">
        <f>VLOOKUP(A28,임차비!$A$6:$N$47,13,FALSE)</f>
        <v>1900</v>
      </c>
      <c r="M28" s="161"/>
      <c r="N28" s="164">
        <f t="shared" si="5"/>
        <v>1900</v>
      </c>
      <c r="O28" s="170">
        <f t="shared" si="2"/>
        <v>7110</v>
      </c>
      <c r="P28" s="70"/>
      <c r="Q28" s="64"/>
      <c r="R28" s="64">
        <v>600</v>
      </c>
    </row>
    <row r="29" spans="1:18">
      <c r="A29" s="166" t="s">
        <v>8</v>
      </c>
      <c r="B29" s="167">
        <v>0</v>
      </c>
      <c r="C29" s="161">
        <f>VLOOKUP(A29,일용임금!$A$6:$P$47,16,FALSE)</f>
        <v>2510</v>
      </c>
      <c r="D29" s="168">
        <f>SUM(B29:C29)</f>
        <v>2510</v>
      </c>
      <c r="E29" s="167">
        <v>0</v>
      </c>
      <c r="F29" s="167">
        <f>VLOOKUP(A29,일반수용비!$A$6:$O$47,15,FALSE)</f>
        <v>1300</v>
      </c>
      <c r="G29" s="169">
        <f t="shared" si="6"/>
        <v>1300</v>
      </c>
      <c r="H29" s="167">
        <f>VLOOKUP(A29,특근매식비!$A$6:$N$47,14,FALSE)</f>
        <v>1200</v>
      </c>
      <c r="I29" s="167">
        <v>0</v>
      </c>
      <c r="J29" s="169">
        <f t="shared" si="4"/>
        <v>1200</v>
      </c>
      <c r="K29" s="167">
        <f>VLOOKUP(A29,임차비!$A$6:$N$47,14,FALSE)</f>
        <v>0</v>
      </c>
      <c r="L29" s="161"/>
      <c r="M29" s="161">
        <f>VLOOKUP(A29,임차비!$A$6:$N$47,13,FALSE)</f>
        <v>1300</v>
      </c>
      <c r="N29" s="164">
        <f t="shared" si="5"/>
        <v>1300</v>
      </c>
      <c r="O29" s="170">
        <f t="shared" si="2"/>
        <v>6310</v>
      </c>
      <c r="P29" s="70"/>
      <c r="Q29" s="64"/>
      <c r="R29" s="64"/>
    </row>
    <row r="30" spans="1:18">
      <c r="A30" s="166" t="s">
        <v>13</v>
      </c>
      <c r="B30" s="167">
        <v>0</v>
      </c>
      <c r="C30" s="161">
        <f>VLOOKUP(A30,일용임금!$A$6:$P$47,16,FALSE)</f>
        <v>500</v>
      </c>
      <c r="D30" s="168">
        <f t="shared" si="3"/>
        <v>500</v>
      </c>
      <c r="E30" s="167">
        <v>0</v>
      </c>
      <c r="F30" s="167">
        <f>VLOOKUP(A30,일반수용비!$A$6:$O$47,15,FALSE)</f>
        <v>1200</v>
      </c>
      <c r="G30" s="169">
        <f t="shared" si="6"/>
        <v>1200</v>
      </c>
      <c r="H30" s="167">
        <f>VLOOKUP(A30,특근매식비!$A$6:$N$47,14,FALSE)</f>
        <v>1200</v>
      </c>
      <c r="I30" s="167">
        <v>0</v>
      </c>
      <c r="J30" s="169">
        <f t="shared" si="4"/>
        <v>1200</v>
      </c>
      <c r="K30" s="167">
        <f>VLOOKUP(A30,임차비!$A$6:$N$47,14,FALSE)</f>
        <v>0</v>
      </c>
      <c r="L30" s="161">
        <f>VLOOKUP(A30,임차비!$A$6:$N$47,13,FALSE)</f>
        <v>1300</v>
      </c>
      <c r="M30" s="161"/>
      <c r="N30" s="164">
        <f t="shared" si="5"/>
        <v>1300</v>
      </c>
      <c r="O30" s="170">
        <f t="shared" si="2"/>
        <v>4200</v>
      </c>
      <c r="P30" s="70"/>
      <c r="Q30" s="64"/>
      <c r="R30" s="64"/>
    </row>
    <row r="31" spans="1:18">
      <c r="A31" s="166" t="s">
        <v>4</v>
      </c>
      <c r="B31" s="167">
        <v>0</v>
      </c>
      <c r="C31" s="161">
        <f>VLOOKUP(A31,일용임금!$A$6:$P$47,16,FALSE)</f>
        <v>0</v>
      </c>
      <c r="D31" s="168">
        <f t="shared" si="3"/>
        <v>0</v>
      </c>
      <c r="E31" s="167">
        <v>0</v>
      </c>
      <c r="F31" s="167">
        <f>VLOOKUP(A31,일반수용비!$A$6:$O$47,15,FALSE)</f>
        <v>900</v>
      </c>
      <c r="G31" s="169">
        <f t="shared" si="6"/>
        <v>900</v>
      </c>
      <c r="H31" s="167">
        <f>VLOOKUP(A31,특근매식비!$A$6:$N$47,14,FALSE)</f>
        <v>1000</v>
      </c>
      <c r="I31" s="167">
        <v>0</v>
      </c>
      <c r="J31" s="169">
        <f t="shared" si="4"/>
        <v>1000</v>
      </c>
      <c r="K31" s="167">
        <f>VLOOKUP(A31,임차비!$A$6:$N$47,14,FALSE)</f>
        <v>500</v>
      </c>
      <c r="L31" s="161"/>
      <c r="M31" s="161">
        <f>VLOOKUP(A31,임차비!$A$6:$N$47,13,FALSE)</f>
        <v>0</v>
      </c>
      <c r="N31" s="164">
        <f t="shared" si="5"/>
        <v>500</v>
      </c>
      <c r="O31" s="170">
        <f t="shared" si="2"/>
        <v>2400</v>
      </c>
      <c r="P31" s="70"/>
      <c r="Q31" s="64"/>
      <c r="R31" s="64"/>
    </row>
    <row r="32" spans="1:18">
      <c r="A32" s="166" t="s">
        <v>36</v>
      </c>
      <c r="B32" s="167">
        <v>0</v>
      </c>
      <c r="C32" s="161">
        <f>VLOOKUP(A32,일용임금!$A$6:$P$47,16,FALSE)</f>
        <v>0</v>
      </c>
      <c r="D32" s="168">
        <f t="shared" si="3"/>
        <v>0</v>
      </c>
      <c r="E32" s="167">
        <v>0</v>
      </c>
      <c r="F32" s="167">
        <f>VLOOKUP(A32,일반수용비!$A$6:$O$47,15,FALSE)</f>
        <v>800</v>
      </c>
      <c r="G32" s="169">
        <f t="shared" si="6"/>
        <v>800</v>
      </c>
      <c r="H32" s="167">
        <f>VLOOKUP(A32,특근매식비!$A$6:$N$47,14,FALSE)</f>
        <v>900</v>
      </c>
      <c r="I32" s="167">
        <v>0</v>
      </c>
      <c r="J32" s="169">
        <f t="shared" si="4"/>
        <v>900</v>
      </c>
      <c r="K32" s="167">
        <f>VLOOKUP(A32,임차비!$A$6:$N$47,14,FALSE)</f>
        <v>0</v>
      </c>
      <c r="L32" s="161"/>
      <c r="M32" s="161">
        <f>VLOOKUP(A32,임차비!$A$6:$N$47,13,FALSE)</f>
        <v>0</v>
      </c>
      <c r="N32" s="164">
        <f t="shared" si="5"/>
        <v>0</v>
      </c>
      <c r="O32" s="170">
        <f t="shared" si="2"/>
        <v>1700</v>
      </c>
      <c r="P32" s="70"/>
      <c r="Q32" s="64"/>
      <c r="R32" s="64"/>
    </row>
    <row r="33" spans="1:18">
      <c r="A33" s="166" t="s">
        <v>18</v>
      </c>
      <c r="B33" s="167">
        <v>0</v>
      </c>
      <c r="C33" s="161">
        <f>VLOOKUP(A33,일용임금!$A$6:$P$47,16,FALSE)</f>
        <v>0</v>
      </c>
      <c r="D33" s="168">
        <f t="shared" si="3"/>
        <v>0</v>
      </c>
      <c r="E33" s="167">
        <v>0</v>
      </c>
      <c r="F33" s="167">
        <f>VLOOKUP(A33,일반수용비!$A$6:$O$47,15,FALSE)</f>
        <v>700</v>
      </c>
      <c r="G33" s="169">
        <f t="shared" si="6"/>
        <v>700</v>
      </c>
      <c r="H33" s="167">
        <f>VLOOKUP(A33,특근매식비!$A$6:$N$47,14,FALSE)</f>
        <v>800</v>
      </c>
      <c r="I33" s="167">
        <v>0</v>
      </c>
      <c r="J33" s="169">
        <f t="shared" si="4"/>
        <v>800</v>
      </c>
      <c r="K33" s="167">
        <f>VLOOKUP(A33,임차비!$A$6:$N$47,14,FALSE)</f>
        <v>0</v>
      </c>
      <c r="L33" s="161"/>
      <c r="M33" s="161">
        <f>VLOOKUP(A33,임차비!$A$6:$N$47,13,FALSE)</f>
        <v>0</v>
      </c>
      <c r="N33" s="164">
        <f t="shared" si="5"/>
        <v>0</v>
      </c>
      <c r="O33" s="170">
        <f t="shared" si="2"/>
        <v>1500</v>
      </c>
      <c r="P33" s="70"/>
      <c r="Q33" s="64"/>
      <c r="R33" s="64"/>
    </row>
    <row r="34" spans="1:18">
      <c r="A34" s="166" t="s">
        <v>50</v>
      </c>
      <c r="B34" s="167">
        <v>0</v>
      </c>
      <c r="C34" s="161">
        <f>VLOOKUP(A34,일용임금!$A$6:$P$47,16,FALSE)</f>
        <v>1210</v>
      </c>
      <c r="D34" s="168">
        <f t="shared" si="3"/>
        <v>1210</v>
      </c>
      <c r="E34" s="167">
        <v>0</v>
      </c>
      <c r="F34" s="167">
        <f>VLOOKUP(A34,일반수용비!$A$6:$O$47,15,FALSE)</f>
        <v>1600</v>
      </c>
      <c r="G34" s="169">
        <f t="shared" si="6"/>
        <v>1600</v>
      </c>
      <c r="H34" s="167">
        <f>VLOOKUP(A34,특근매식비!$A$6:$N$47,14,FALSE)</f>
        <v>1500</v>
      </c>
      <c r="I34" s="167">
        <v>0</v>
      </c>
      <c r="J34" s="169">
        <f t="shared" si="4"/>
        <v>1500</v>
      </c>
      <c r="K34" s="167">
        <f>VLOOKUP(A34,임차비!$A$6:$N$47,14,FALSE)</f>
        <v>0</v>
      </c>
      <c r="L34" s="161">
        <f>VLOOKUP(A34,임차비!$A$6:$N$47,13,FALSE)</f>
        <v>1600</v>
      </c>
      <c r="M34" s="161"/>
      <c r="N34" s="164">
        <f t="shared" si="5"/>
        <v>1600</v>
      </c>
      <c r="O34" s="170">
        <f t="shared" si="2"/>
        <v>5910</v>
      </c>
      <c r="P34" s="70"/>
      <c r="Q34" s="64"/>
      <c r="R34" s="64"/>
    </row>
    <row r="35" spans="1:18">
      <c r="A35" s="166" t="s">
        <v>24</v>
      </c>
      <c r="B35" s="167">
        <v>0</v>
      </c>
      <c r="C35" s="161">
        <f>VLOOKUP(A35,일용임금!$A$6:$P$47,16,FALSE)</f>
        <v>2410</v>
      </c>
      <c r="D35" s="168">
        <f t="shared" si="3"/>
        <v>2410</v>
      </c>
      <c r="E35" s="167">
        <v>0</v>
      </c>
      <c r="F35" s="167">
        <f>VLOOKUP(A35,일반수용비!$A$6:$O$47,15,FALSE)</f>
        <v>1500</v>
      </c>
      <c r="G35" s="169">
        <f t="shared" si="6"/>
        <v>1500</v>
      </c>
      <c r="H35" s="167">
        <f>VLOOKUP(A35,특근매식비!$A$6:$N$47,14,FALSE)</f>
        <v>1400</v>
      </c>
      <c r="I35" s="167">
        <v>0</v>
      </c>
      <c r="J35" s="169">
        <f t="shared" si="4"/>
        <v>1400</v>
      </c>
      <c r="K35" s="167">
        <f>VLOOKUP(A35,임차비!$A$6:$N$47,14,FALSE)</f>
        <v>0</v>
      </c>
      <c r="L35" s="161">
        <f>VLOOKUP(A35,임차비!$A$6:$N$47,13,FALSE)</f>
        <v>1200</v>
      </c>
      <c r="M35" s="161"/>
      <c r="N35" s="164">
        <f t="shared" si="5"/>
        <v>1200</v>
      </c>
      <c r="O35" s="170">
        <f t="shared" si="2"/>
        <v>6510</v>
      </c>
      <c r="P35" s="70"/>
      <c r="Q35" s="64"/>
      <c r="R35" s="64"/>
    </row>
    <row r="36" spans="1:18">
      <c r="A36" s="166" t="s">
        <v>21</v>
      </c>
      <c r="B36" s="167">
        <v>0</v>
      </c>
      <c r="C36" s="161">
        <f>VLOOKUP(A36,일용임금!$A$6:$P$47,16,FALSE)</f>
        <v>730</v>
      </c>
      <c r="D36" s="168">
        <f t="shared" si="3"/>
        <v>730</v>
      </c>
      <c r="E36" s="167">
        <v>0</v>
      </c>
      <c r="F36" s="167">
        <f>VLOOKUP(A36,일반수용비!$A$6:$O$47,15,FALSE)</f>
        <v>1400</v>
      </c>
      <c r="G36" s="169">
        <f t="shared" si="6"/>
        <v>1400</v>
      </c>
      <c r="H36" s="167">
        <f>VLOOKUP(A36,특근매식비!$A$6:$N$47,14,FALSE)</f>
        <v>1200</v>
      </c>
      <c r="I36" s="167">
        <v>0</v>
      </c>
      <c r="J36" s="169">
        <f t="shared" si="4"/>
        <v>1200</v>
      </c>
      <c r="K36" s="167">
        <f>VLOOKUP(A36,임차비!$A$6:$N$47,14,FALSE)</f>
        <v>0</v>
      </c>
      <c r="L36" s="161">
        <f>VLOOKUP(A36,임차비!$A$6:$N$47,13,FALSE)</f>
        <v>1000</v>
      </c>
      <c r="M36" s="161"/>
      <c r="N36" s="164">
        <f t="shared" si="5"/>
        <v>1000</v>
      </c>
      <c r="O36" s="170">
        <f t="shared" si="2"/>
        <v>4330</v>
      </c>
      <c r="P36" s="70"/>
      <c r="Q36" s="64"/>
      <c r="R36" s="64"/>
    </row>
    <row r="37" spans="1:18">
      <c r="A37" s="166" t="s">
        <v>1</v>
      </c>
      <c r="B37" s="167">
        <v>0</v>
      </c>
      <c r="C37" s="161">
        <f>VLOOKUP(A37,일용임금!$A$6:$P$47,16,FALSE)</f>
        <v>0</v>
      </c>
      <c r="D37" s="168">
        <f t="shared" si="3"/>
        <v>0</v>
      </c>
      <c r="E37" s="167">
        <v>0</v>
      </c>
      <c r="F37" s="167">
        <f>VLOOKUP(A37,일반수용비!$A$6:$O$47,15,FALSE)</f>
        <v>800</v>
      </c>
      <c r="G37" s="169">
        <f t="shared" si="6"/>
        <v>800</v>
      </c>
      <c r="H37" s="167">
        <f>VLOOKUP(A37,특근매식비!$A$6:$N$47,14,FALSE)</f>
        <v>700</v>
      </c>
      <c r="I37" s="167">
        <v>0</v>
      </c>
      <c r="J37" s="169">
        <f t="shared" si="4"/>
        <v>700</v>
      </c>
      <c r="K37" s="167">
        <f>VLOOKUP(A37,임차비!$A$6:$N$47,14,FALSE)</f>
        <v>0</v>
      </c>
      <c r="L37" s="161"/>
      <c r="M37" s="161">
        <f>VLOOKUP(A37,임차비!$A$6:$N$47,13,FALSE)</f>
        <v>0</v>
      </c>
      <c r="N37" s="164">
        <f t="shared" si="5"/>
        <v>0</v>
      </c>
      <c r="O37" s="170">
        <f t="shared" si="2"/>
        <v>1500</v>
      </c>
      <c r="P37" s="70"/>
      <c r="Q37" s="64"/>
      <c r="R37" s="64"/>
    </row>
    <row r="38" spans="1:18">
      <c r="A38" s="166" t="s">
        <v>26</v>
      </c>
      <c r="B38" s="167">
        <v>0</v>
      </c>
      <c r="C38" s="161">
        <f>VLOOKUP(A38,일용임금!$A$6:$P$47,16,FALSE)</f>
        <v>0</v>
      </c>
      <c r="D38" s="168">
        <f t="shared" si="3"/>
        <v>0</v>
      </c>
      <c r="E38" s="167">
        <v>0</v>
      </c>
      <c r="F38" s="167">
        <f>VLOOKUP(A38,일반수용비!$A$6:$O$47,15,FALSE)</f>
        <v>500</v>
      </c>
      <c r="G38" s="169">
        <f t="shared" si="6"/>
        <v>500</v>
      </c>
      <c r="H38" s="167">
        <f>VLOOKUP(A38,특근매식비!$A$6:$N$47,14,FALSE)</f>
        <v>600</v>
      </c>
      <c r="I38" s="167">
        <v>0</v>
      </c>
      <c r="J38" s="169">
        <f t="shared" si="4"/>
        <v>600</v>
      </c>
      <c r="K38" s="167">
        <f>VLOOKUP(A38,임차비!$A$6:$N$47,14,FALSE)</f>
        <v>0</v>
      </c>
      <c r="L38" s="161"/>
      <c r="M38" s="161">
        <f>VLOOKUP(A38,임차비!$A$6:$N$47,13,FALSE)</f>
        <v>0</v>
      </c>
      <c r="N38" s="164">
        <f t="shared" si="5"/>
        <v>0</v>
      </c>
      <c r="O38" s="170">
        <f t="shared" si="2"/>
        <v>1100</v>
      </c>
      <c r="P38" s="70"/>
      <c r="Q38" s="64"/>
      <c r="R38" s="64"/>
    </row>
    <row r="39" spans="1:18">
      <c r="A39" s="166" t="s">
        <v>16</v>
      </c>
      <c r="B39" s="167">
        <v>0</v>
      </c>
      <c r="C39" s="167">
        <f>VLOOKUP(A39,일용임금!$A$6:$P$47,16,FALSE)</f>
        <v>0</v>
      </c>
      <c r="D39" s="168">
        <f t="shared" si="3"/>
        <v>0</v>
      </c>
      <c r="E39" s="167">
        <v>0</v>
      </c>
      <c r="F39" s="167">
        <f>VLOOKUP(A39,일반수용비!$A$6:$O$47,15,FALSE)</f>
        <v>800</v>
      </c>
      <c r="G39" s="169">
        <f t="shared" si="6"/>
        <v>800</v>
      </c>
      <c r="H39" s="167">
        <f>VLOOKUP(A39,특근매식비!$A$6:$N$47,14,FALSE)</f>
        <v>900</v>
      </c>
      <c r="I39" s="167">
        <v>0</v>
      </c>
      <c r="J39" s="169">
        <f t="shared" si="4"/>
        <v>900</v>
      </c>
      <c r="K39" s="167">
        <f>VLOOKUP(A39,임차비!$A$6:$N$47,14,FALSE)</f>
        <v>0</v>
      </c>
      <c r="L39" s="161"/>
      <c r="M39" s="161">
        <f>VLOOKUP(A39,임차비!$A$6:$N$47,13,FALSE)</f>
        <v>0</v>
      </c>
      <c r="N39" s="164">
        <f t="shared" si="5"/>
        <v>0</v>
      </c>
      <c r="O39" s="170">
        <f t="shared" si="2"/>
        <v>1700</v>
      </c>
      <c r="P39" s="70"/>
      <c r="Q39" s="64"/>
      <c r="R39" s="64"/>
    </row>
    <row r="40" spans="1:18">
      <c r="A40" s="166" t="s">
        <v>27</v>
      </c>
      <c r="B40" s="167">
        <v>0</v>
      </c>
      <c r="C40" s="161">
        <f>VLOOKUP(A40,일용임금!$A$6:$P$47,16,FALSE)</f>
        <v>0</v>
      </c>
      <c r="D40" s="168">
        <f t="shared" si="3"/>
        <v>0</v>
      </c>
      <c r="E40" s="167">
        <v>0</v>
      </c>
      <c r="F40" s="167">
        <f>VLOOKUP(A40,일반수용비!$A$6:$O$47,15,FALSE)</f>
        <v>900</v>
      </c>
      <c r="G40" s="169">
        <f t="shared" si="6"/>
        <v>900</v>
      </c>
      <c r="H40" s="167">
        <f>VLOOKUP(A40,특근매식비!$A$6:$N$47,14,FALSE)</f>
        <v>1000</v>
      </c>
      <c r="I40" s="167">
        <v>0</v>
      </c>
      <c r="J40" s="169">
        <f t="shared" si="4"/>
        <v>1000</v>
      </c>
      <c r="K40" s="167">
        <f>VLOOKUP(A40,임차비!$A$6:$N$47,14,FALSE)</f>
        <v>0</v>
      </c>
      <c r="L40" s="161">
        <f>VLOOKUP(A40,임차비!$A$6:$N$47,13,FALSE)</f>
        <v>600</v>
      </c>
      <c r="M40" s="161"/>
      <c r="N40" s="164">
        <f t="shared" si="5"/>
        <v>600</v>
      </c>
      <c r="O40" s="170">
        <f t="shared" si="2"/>
        <v>2500</v>
      </c>
      <c r="P40" s="70"/>
      <c r="Q40" s="64"/>
      <c r="R40" s="64">
        <v>500</v>
      </c>
    </row>
    <row r="41" spans="1:18">
      <c r="A41" s="166" t="s">
        <v>10</v>
      </c>
      <c r="B41" s="167">
        <v>0</v>
      </c>
      <c r="C41" s="161">
        <f>VLOOKUP(A41,일용임금!$A$6:$P$47,16,FALSE)</f>
        <v>0</v>
      </c>
      <c r="D41" s="168">
        <f t="shared" si="3"/>
        <v>0</v>
      </c>
      <c r="E41" s="167">
        <v>0</v>
      </c>
      <c r="F41" s="167">
        <f>VLOOKUP(A41,일반수용비!$A$6:$O$47,15,FALSE)</f>
        <v>800</v>
      </c>
      <c r="G41" s="169">
        <f t="shared" si="6"/>
        <v>800</v>
      </c>
      <c r="H41" s="167">
        <f>VLOOKUP(A41,특근매식비!$A$6:$N$47,14,FALSE)</f>
        <v>900</v>
      </c>
      <c r="I41" s="167">
        <v>0</v>
      </c>
      <c r="J41" s="169">
        <f t="shared" si="4"/>
        <v>900</v>
      </c>
      <c r="K41" s="167">
        <f>VLOOKUP(A41,임차비!$A$6:$N$47,14,FALSE)</f>
        <v>0</v>
      </c>
      <c r="L41" s="161">
        <f>VLOOKUP(A41,임차비!$A$6:$N$47,13,FALSE)</f>
        <v>800</v>
      </c>
      <c r="M41" s="161"/>
      <c r="N41" s="164">
        <f t="shared" si="5"/>
        <v>800</v>
      </c>
      <c r="O41" s="170">
        <f t="shared" si="2"/>
        <v>2500</v>
      </c>
      <c r="P41" s="70"/>
      <c r="Q41" s="64"/>
      <c r="R41" s="64">
        <v>800</v>
      </c>
    </row>
    <row r="42" spans="1:18">
      <c r="A42" s="166" t="s">
        <v>17</v>
      </c>
      <c r="B42" s="167">
        <v>0</v>
      </c>
      <c r="C42" s="161">
        <f>VLOOKUP(A42,일용임금!$A$6:$P$47,16,FALSE)</f>
        <v>0</v>
      </c>
      <c r="D42" s="168">
        <f t="shared" si="3"/>
        <v>0</v>
      </c>
      <c r="E42" s="167">
        <v>0</v>
      </c>
      <c r="F42" s="167">
        <f>VLOOKUP(A42,일반수용비!$A$6:$O$47,15,FALSE)</f>
        <v>600</v>
      </c>
      <c r="G42" s="169">
        <f t="shared" si="6"/>
        <v>600</v>
      </c>
      <c r="H42" s="167">
        <f>VLOOKUP(A42,특근매식비!$A$6:$N$47,14,FALSE)</f>
        <v>700</v>
      </c>
      <c r="I42" s="167">
        <v>0</v>
      </c>
      <c r="J42" s="169">
        <f t="shared" si="4"/>
        <v>700</v>
      </c>
      <c r="K42" s="167">
        <f>VLOOKUP(A42,임차비!$A$6:$N$47,14,FALSE)</f>
        <v>0</v>
      </c>
      <c r="L42" s="161"/>
      <c r="M42" s="161">
        <f>VLOOKUP(A42,임차비!$A$6:$N$47,13,FALSE)</f>
        <v>0</v>
      </c>
      <c r="N42" s="164">
        <f t="shared" si="5"/>
        <v>0</v>
      </c>
      <c r="O42" s="170">
        <f t="shared" si="2"/>
        <v>1300</v>
      </c>
      <c r="P42" s="70"/>
      <c r="Q42" s="64"/>
      <c r="R42" s="64"/>
    </row>
    <row r="43" spans="1:18">
      <c r="A43" s="166" t="s">
        <v>38</v>
      </c>
      <c r="B43" s="167">
        <v>0</v>
      </c>
      <c r="C43" s="161">
        <f>VLOOKUP(A43,일용임금!$A$6:$P$47,16,FALSE)</f>
        <v>0</v>
      </c>
      <c r="D43" s="168">
        <f t="shared" si="3"/>
        <v>0</v>
      </c>
      <c r="E43" s="167">
        <v>0</v>
      </c>
      <c r="F43" s="167">
        <f>VLOOKUP(A43,일반수용비!$A$6:$O$47,15,FALSE)</f>
        <v>900</v>
      </c>
      <c r="G43" s="169">
        <f t="shared" si="6"/>
        <v>900</v>
      </c>
      <c r="H43" s="167">
        <f>VLOOKUP(A43,특근매식비!$A$6:$N$47,14,FALSE)</f>
        <v>1000</v>
      </c>
      <c r="I43" s="167">
        <v>0</v>
      </c>
      <c r="J43" s="169">
        <f t="shared" si="4"/>
        <v>1000</v>
      </c>
      <c r="K43" s="167">
        <f>VLOOKUP(A43,임차비!$A$6:$N$47,14,FALSE)</f>
        <v>0</v>
      </c>
      <c r="L43" s="161"/>
      <c r="M43" s="161">
        <f>VLOOKUP(A43,임차비!$A$6:$N$47,13,FALSE)</f>
        <v>0</v>
      </c>
      <c r="N43" s="164">
        <f t="shared" si="5"/>
        <v>0</v>
      </c>
      <c r="O43" s="170">
        <f t="shared" si="2"/>
        <v>1900</v>
      </c>
      <c r="P43" s="70"/>
      <c r="Q43" s="64"/>
      <c r="R43" s="64"/>
    </row>
    <row r="44" spans="1:18">
      <c r="A44" s="166" t="s">
        <v>86</v>
      </c>
      <c r="B44" s="167">
        <f>VLOOKUP(A44,일용임금!A43:P77,16,FALSE)</f>
        <v>56000</v>
      </c>
      <c r="C44" s="167">
        <v>0</v>
      </c>
      <c r="D44" s="168">
        <f t="shared" si="3"/>
        <v>56000</v>
      </c>
      <c r="E44" s="167">
        <f>VLOOKUP(A44,일반수용비!A43:O84,15,FALSE)</f>
        <v>13800</v>
      </c>
      <c r="F44" s="167">
        <v>0</v>
      </c>
      <c r="G44" s="169">
        <f t="shared" si="6"/>
        <v>13800</v>
      </c>
      <c r="H44" s="167">
        <f>VLOOKUP(A44,특근매식비!$A$6:$N$47,14,FALSE)</f>
        <v>17000</v>
      </c>
      <c r="I44" s="167">
        <v>0</v>
      </c>
      <c r="J44" s="169">
        <f t="shared" si="4"/>
        <v>17000</v>
      </c>
      <c r="K44" s="167">
        <f>VLOOKUP(A44,임차비!$A$6:$N$47,12,FALSE)</f>
        <v>0</v>
      </c>
      <c r="L44" s="161"/>
      <c r="M44" s="161"/>
      <c r="N44" s="164">
        <f t="shared" si="5"/>
        <v>0</v>
      </c>
      <c r="O44" s="170">
        <f t="shared" si="2"/>
        <v>86800</v>
      </c>
      <c r="P44" s="70"/>
      <c r="Q44" s="64"/>
      <c r="R44" s="64"/>
    </row>
    <row r="45" spans="1:18">
      <c r="A45" s="166" t="s">
        <v>87</v>
      </c>
      <c r="B45" s="167">
        <f>VLOOKUP(A45,일용임금!A44:P78,16,FALSE)</f>
        <v>20000</v>
      </c>
      <c r="C45" s="167">
        <v>0</v>
      </c>
      <c r="D45" s="168">
        <f t="shared" si="3"/>
        <v>20000</v>
      </c>
      <c r="E45" s="167">
        <f>VLOOKUP(A45,일반수용비!A44:O85,15,FALSE)</f>
        <v>7500</v>
      </c>
      <c r="F45" s="167">
        <v>0</v>
      </c>
      <c r="G45" s="169">
        <f t="shared" si="6"/>
        <v>7500</v>
      </c>
      <c r="H45" s="167">
        <f>VLOOKUP(A45,특근매식비!$A$6:$N$47,14,FALSE)</f>
        <v>7500</v>
      </c>
      <c r="I45" s="167">
        <v>0</v>
      </c>
      <c r="J45" s="169">
        <f t="shared" si="4"/>
        <v>7500</v>
      </c>
      <c r="K45" s="167">
        <f>VLOOKUP(A45,임차비!$A$6:$N$47,12,FALSE)</f>
        <v>0</v>
      </c>
      <c r="L45" s="161"/>
      <c r="M45" s="161"/>
      <c r="N45" s="164">
        <f t="shared" si="5"/>
        <v>0</v>
      </c>
      <c r="O45" s="170">
        <f t="shared" si="2"/>
        <v>35000</v>
      </c>
      <c r="P45" s="70"/>
      <c r="Q45" s="64"/>
      <c r="R45" s="64"/>
    </row>
    <row r="46" spans="1:18">
      <c r="A46" s="166" t="s">
        <v>88</v>
      </c>
      <c r="B46" s="167">
        <f>VLOOKUP(A46,일용임금!A45:P79,16,FALSE)</f>
        <v>21000</v>
      </c>
      <c r="C46" s="167">
        <v>0</v>
      </c>
      <c r="D46" s="168">
        <f t="shared" si="3"/>
        <v>21000</v>
      </c>
      <c r="E46" s="167">
        <f>VLOOKUP(A46,일반수용비!A45:O86,15,FALSE)</f>
        <v>4800</v>
      </c>
      <c r="F46" s="167">
        <v>0</v>
      </c>
      <c r="G46" s="169">
        <f t="shared" si="6"/>
        <v>4800</v>
      </c>
      <c r="H46" s="167">
        <f>VLOOKUP(A46,특근매식비!$A$6:$N$47,14,FALSE)</f>
        <v>7000</v>
      </c>
      <c r="I46" s="167">
        <v>0</v>
      </c>
      <c r="J46" s="169">
        <f t="shared" si="4"/>
        <v>7000</v>
      </c>
      <c r="K46" s="167">
        <f>VLOOKUP(A46,임차비!$A$6:$N$47,12,FALSE)</f>
        <v>0</v>
      </c>
      <c r="L46" s="161"/>
      <c r="M46" s="161"/>
      <c r="N46" s="164">
        <f t="shared" si="5"/>
        <v>0</v>
      </c>
      <c r="O46" s="170">
        <f t="shared" si="2"/>
        <v>32800</v>
      </c>
      <c r="P46" s="70"/>
      <c r="Q46" s="64"/>
      <c r="R46" s="64"/>
    </row>
    <row r="47" spans="1:18" ht="14.25" thickBot="1">
      <c r="A47" s="171" t="s">
        <v>89</v>
      </c>
      <c r="B47" s="172">
        <f>VLOOKUP(A47,일용임금!A46:P80,16,FALSE)</f>
        <v>20000</v>
      </c>
      <c r="C47" s="172">
        <v>0</v>
      </c>
      <c r="D47" s="173">
        <f t="shared" si="3"/>
        <v>20000</v>
      </c>
      <c r="E47" s="172">
        <f>VLOOKUP(A47,일반수용비!A46:O87,15,FALSE)</f>
        <v>5600</v>
      </c>
      <c r="F47" s="172">
        <v>0</v>
      </c>
      <c r="G47" s="174">
        <f t="shared" si="6"/>
        <v>5600</v>
      </c>
      <c r="H47" s="172">
        <f>VLOOKUP(A47,특근매식비!$A$6:$N$47,14,FALSE)</f>
        <v>7000</v>
      </c>
      <c r="I47" s="172">
        <v>0</v>
      </c>
      <c r="J47" s="174">
        <f t="shared" si="4"/>
        <v>7000</v>
      </c>
      <c r="K47" s="172">
        <f>VLOOKUP(A47,임차비!$A$6:$N$47,12,FALSE)</f>
        <v>0</v>
      </c>
      <c r="L47" s="198"/>
      <c r="M47" s="198"/>
      <c r="N47" s="175">
        <f>SUM(K47:M47)</f>
        <v>0</v>
      </c>
      <c r="O47" s="176">
        <f t="shared" si="2"/>
        <v>32600</v>
      </c>
      <c r="P47" s="70"/>
      <c r="Q47" s="64"/>
      <c r="R47" s="64"/>
    </row>
    <row r="48" spans="1:18" s="3" customFormat="1">
      <c r="A48" s="199" t="s">
        <v>181</v>
      </c>
      <c r="B48" s="200">
        <v>125396</v>
      </c>
      <c r="C48" s="200">
        <v>85200</v>
      </c>
      <c r="D48" s="200">
        <f t="shared" si="3"/>
        <v>210596</v>
      </c>
      <c r="E48" s="200">
        <v>21000</v>
      </c>
      <c r="F48" s="200">
        <v>56800</v>
      </c>
      <c r="G48" s="200">
        <f>SUM(E48:F48)</f>
        <v>77800</v>
      </c>
      <c r="H48" s="200">
        <v>25200</v>
      </c>
      <c r="I48" s="200">
        <v>21300</v>
      </c>
      <c r="J48" s="200">
        <f>SUM(H48:I48)</f>
        <v>46500</v>
      </c>
      <c r="K48" s="200">
        <v>7050</v>
      </c>
      <c r="L48" s="200">
        <v>27800</v>
      </c>
      <c r="M48" s="200">
        <v>70300</v>
      </c>
      <c r="N48" s="201">
        <f>SUM(K48:M48)</f>
        <v>105150</v>
      </c>
      <c r="O48" s="202">
        <f t="shared" si="2"/>
        <v>440046</v>
      </c>
      <c r="P48" s="64"/>
      <c r="Q48" s="64"/>
      <c r="R48" s="64"/>
    </row>
    <row r="49" spans="1:18" s="4" customFormat="1">
      <c r="A49" s="150" t="s">
        <v>182</v>
      </c>
      <c r="B49" s="151">
        <v>25000</v>
      </c>
      <c r="C49" s="177">
        <v>0</v>
      </c>
      <c r="D49" s="151">
        <f t="shared" si="3"/>
        <v>25000</v>
      </c>
      <c r="E49" s="151">
        <v>16330</v>
      </c>
      <c r="F49" s="151">
        <v>123107</v>
      </c>
      <c r="G49" s="151">
        <f>SUM(E49:F49)</f>
        <v>139437</v>
      </c>
      <c r="H49" s="151">
        <v>63322</v>
      </c>
      <c r="I49" s="177"/>
      <c r="J49" s="151">
        <f>SUM(H49:I49)</f>
        <v>63322</v>
      </c>
      <c r="K49" s="177"/>
      <c r="L49" s="177"/>
      <c r="M49" s="218"/>
      <c r="N49" s="178">
        <f>SUM(K49:M49)</f>
        <v>0</v>
      </c>
      <c r="O49" s="153">
        <f t="shared" si="2"/>
        <v>227759</v>
      </c>
      <c r="P49" s="55"/>
      <c r="Q49" s="55"/>
      <c r="R49" s="55"/>
    </row>
    <row r="50" spans="1:18" s="4" customFormat="1">
      <c r="A50" s="179" t="s">
        <v>183</v>
      </c>
      <c r="B50" s="180">
        <f>SUM(B48:B49)</f>
        <v>150396</v>
      </c>
      <c r="C50" s="180">
        <f t="shared" ref="C50:O50" si="7">SUM(C48:C49)</f>
        <v>85200</v>
      </c>
      <c r="D50" s="180">
        <f t="shared" si="7"/>
        <v>235596</v>
      </c>
      <c r="E50" s="180">
        <f t="shared" si="7"/>
        <v>37330</v>
      </c>
      <c r="F50" s="180">
        <f t="shared" si="7"/>
        <v>179907</v>
      </c>
      <c r="G50" s="180">
        <f t="shared" si="7"/>
        <v>217237</v>
      </c>
      <c r="H50" s="180">
        <f t="shared" si="7"/>
        <v>88522</v>
      </c>
      <c r="I50" s="180">
        <f t="shared" si="7"/>
        <v>21300</v>
      </c>
      <c r="J50" s="180">
        <f t="shared" si="7"/>
        <v>109822</v>
      </c>
      <c r="K50" s="180">
        <f t="shared" si="7"/>
        <v>7050</v>
      </c>
      <c r="L50" s="180">
        <f t="shared" si="7"/>
        <v>27800</v>
      </c>
      <c r="M50" s="180">
        <f t="shared" si="7"/>
        <v>70300</v>
      </c>
      <c r="N50" s="180">
        <f>SUM(K50:M50)</f>
        <v>105150</v>
      </c>
      <c r="O50" s="180">
        <f t="shared" si="7"/>
        <v>667805</v>
      </c>
      <c r="P50" s="55"/>
      <c r="Q50" s="55"/>
      <c r="R50" s="55"/>
    </row>
    <row r="51" spans="1:18">
      <c r="A51" s="154" t="s">
        <v>184</v>
      </c>
      <c r="B51" s="155">
        <v>89730</v>
      </c>
      <c r="C51" s="155">
        <v>65700</v>
      </c>
      <c r="D51" s="151">
        <f t="shared" si="3"/>
        <v>155430</v>
      </c>
      <c r="E51" s="155">
        <v>32670</v>
      </c>
      <c r="F51" s="155">
        <v>48490</v>
      </c>
      <c r="G51" s="151">
        <f t="shared" ref="G51:G55" si="8">SUM(E51:F51)</f>
        <v>81160</v>
      </c>
      <c r="H51" s="155">
        <v>69822</v>
      </c>
      <c r="I51" s="155">
        <v>14366</v>
      </c>
      <c r="J51" s="151">
        <f t="shared" ref="J51:J55" si="9">SUM(H51:I51)</f>
        <v>84188</v>
      </c>
      <c r="K51" s="155">
        <v>3110</v>
      </c>
      <c r="L51" s="155">
        <v>69920</v>
      </c>
      <c r="M51" s="219"/>
      <c r="N51" s="152">
        <f t="shared" ref="N51:N55" si="10">SUM(K51:L51)</f>
        <v>73030</v>
      </c>
      <c r="O51" s="153">
        <f>SUM(D51,G51,J51,N51)</f>
        <v>393808</v>
      </c>
      <c r="P51" s="64"/>
      <c r="Q51" s="64"/>
      <c r="R51" s="64"/>
    </row>
    <row r="52" spans="1:18">
      <c r="A52" s="154" t="s">
        <v>185</v>
      </c>
      <c r="B52" s="155">
        <v>94400</v>
      </c>
      <c r="C52" s="155">
        <v>57710</v>
      </c>
      <c r="D52" s="151">
        <f t="shared" si="3"/>
        <v>152110</v>
      </c>
      <c r="E52" s="155">
        <v>27680</v>
      </c>
      <c r="F52" s="155">
        <v>94210</v>
      </c>
      <c r="G52" s="151">
        <f t="shared" si="8"/>
        <v>121890</v>
      </c>
      <c r="H52" s="155">
        <v>62983</v>
      </c>
      <c r="I52" s="155">
        <v>33936</v>
      </c>
      <c r="J52" s="151">
        <f t="shared" si="9"/>
        <v>96919</v>
      </c>
      <c r="K52" s="155">
        <v>4470</v>
      </c>
      <c r="L52" s="155">
        <v>69040</v>
      </c>
      <c r="M52" s="219"/>
      <c r="N52" s="152">
        <f t="shared" si="10"/>
        <v>73510</v>
      </c>
      <c r="O52" s="153">
        <f>SUM(D52,G52,J52,N52)</f>
        <v>444429</v>
      </c>
      <c r="P52" s="64"/>
      <c r="Q52" s="64"/>
      <c r="R52" s="64"/>
    </row>
    <row r="53" spans="1:18">
      <c r="A53" s="156" t="s">
        <v>186</v>
      </c>
      <c r="B53" s="151">
        <v>56000</v>
      </c>
      <c r="C53" s="151"/>
      <c r="D53" s="151">
        <f t="shared" si="3"/>
        <v>56000</v>
      </c>
      <c r="E53" s="151">
        <v>16000</v>
      </c>
      <c r="F53" s="151">
        <v>74000</v>
      </c>
      <c r="G53" s="151">
        <f t="shared" si="8"/>
        <v>90000</v>
      </c>
      <c r="H53" s="151">
        <v>94050</v>
      </c>
      <c r="I53" s="151"/>
      <c r="J53" s="151">
        <f t="shared" si="9"/>
        <v>94050</v>
      </c>
      <c r="K53" s="151"/>
      <c r="L53" s="151"/>
      <c r="M53" s="220"/>
      <c r="N53" s="152"/>
      <c r="O53" s="153">
        <f>SUM(D53,G53,J53,N53)</f>
        <v>240050</v>
      </c>
      <c r="P53" s="66"/>
      <c r="Q53" s="66"/>
      <c r="R53" s="66"/>
    </row>
    <row r="54" spans="1:18">
      <c r="A54" s="154" t="s">
        <v>187</v>
      </c>
      <c r="B54" s="155">
        <v>80000</v>
      </c>
      <c r="C54" s="155">
        <v>57090</v>
      </c>
      <c r="D54" s="151">
        <f t="shared" si="3"/>
        <v>137090</v>
      </c>
      <c r="E54" s="155">
        <v>11760</v>
      </c>
      <c r="F54" s="155">
        <v>72050</v>
      </c>
      <c r="G54" s="151">
        <f t="shared" si="8"/>
        <v>83810</v>
      </c>
      <c r="H54" s="155">
        <v>64610</v>
      </c>
      <c r="I54" s="155">
        <v>21150</v>
      </c>
      <c r="J54" s="151">
        <f t="shared" si="9"/>
        <v>85760</v>
      </c>
      <c r="K54" s="155">
        <v>5050</v>
      </c>
      <c r="L54" s="155">
        <v>62700</v>
      </c>
      <c r="M54" s="219"/>
      <c r="N54" s="152">
        <f t="shared" si="10"/>
        <v>67750</v>
      </c>
      <c r="O54" s="153">
        <f>SUM(D54,G54,J54,N54)</f>
        <v>374410</v>
      </c>
      <c r="P54" s="64"/>
      <c r="Q54" s="64"/>
      <c r="R54" s="64"/>
    </row>
    <row r="55" spans="1:18">
      <c r="A55" s="154" t="s">
        <v>188</v>
      </c>
      <c r="B55" s="155">
        <v>94000</v>
      </c>
      <c r="C55" s="155">
        <v>70050</v>
      </c>
      <c r="D55" s="151">
        <f t="shared" si="3"/>
        <v>164050</v>
      </c>
      <c r="E55" s="155">
        <v>49250</v>
      </c>
      <c r="F55" s="155">
        <v>44960</v>
      </c>
      <c r="G55" s="151">
        <f t="shared" si="8"/>
        <v>94210</v>
      </c>
      <c r="H55" s="155">
        <v>82650</v>
      </c>
      <c r="I55" s="155">
        <v>28980</v>
      </c>
      <c r="J55" s="151">
        <f t="shared" si="9"/>
        <v>111630</v>
      </c>
      <c r="K55" s="155">
        <v>5750</v>
      </c>
      <c r="L55" s="155">
        <v>69600</v>
      </c>
      <c r="M55" s="219"/>
      <c r="N55" s="152">
        <f t="shared" si="10"/>
        <v>75350</v>
      </c>
      <c r="O55" s="153">
        <f>SUM(D55,G55,J55,N55)</f>
        <v>445240</v>
      </c>
      <c r="P55" s="64"/>
      <c r="Q55" s="64"/>
      <c r="R55" s="64"/>
    </row>
    <row r="56" spans="1:18">
      <c r="A56" s="154" t="s">
        <v>189</v>
      </c>
      <c r="B56" s="155">
        <f>B50-B5</f>
        <v>33396</v>
      </c>
      <c r="C56" s="155">
        <f t="shared" ref="C56:M56" si="11">C50-C5</f>
        <v>15520</v>
      </c>
      <c r="D56" s="155">
        <f t="shared" si="11"/>
        <v>48916</v>
      </c>
      <c r="E56" s="155">
        <f t="shared" si="11"/>
        <v>5630</v>
      </c>
      <c r="F56" s="155">
        <f t="shared" si="11"/>
        <v>106907</v>
      </c>
      <c r="G56" s="155">
        <f t="shared" si="11"/>
        <v>112537</v>
      </c>
      <c r="H56" s="155">
        <f t="shared" si="11"/>
        <v>5872</v>
      </c>
      <c r="I56" s="155">
        <f t="shared" si="11"/>
        <v>0</v>
      </c>
      <c r="J56" s="155">
        <f t="shared" si="11"/>
        <v>5872</v>
      </c>
      <c r="K56" s="155">
        <f t="shared" si="11"/>
        <v>6550</v>
      </c>
      <c r="L56" s="155">
        <f t="shared" si="11"/>
        <v>12000</v>
      </c>
      <c r="M56" s="155">
        <f t="shared" si="11"/>
        <v>0</v>
      </c>
      <c r="N56" s="155">
        <f>N50-N5</f>
        <v>18550</v>
      </c>
      <c r="O56" s="155">
        <f t="shared" ref="O56" si="12">O48+O49-O5</f>
        <v>185875</v>
      </c>
      <c r="P56" s="64"/>
      <c r="Q56" s="64"/>
      <c r="R56" s="64"/>
    </row>
    <row r="60" spans="1:18">
      <c r="C60" s="222"/>
    </row>
  </sheetData>
  <mergeCells count="8">
    <mergeCell ref="P3:R3"/>
    <mergeCell ref="A1:O1"/>
    <mergeCell ref="A3:A4"/>
    <mergeCell ref="B3:D3"/>
    <mergeCell ref="E3:G3"/>
    <mergeCell ref="H3:J3"/>
    <mergeCell ref="O3:O4"/>
    <mergeCell ref="K3:L3"/>
  </mergeCells>
  <phoneticPr fontId="5" type="noConversion"/>
  <printOptions horizontalCentered="1"/>
  <pageMargins left="0.70866141732283472" right="0.70866141732283472" top="0.41" bottom="0.21" header="0.21" footer="0.21"/>
  <pageSetup paperSize="9" scale="71" orientation="landscape" r:id="rId1"/>
  <ignoredErrors>
    <ignoredError sqref="B52:C52 D44:D47 I44:J47 N51:N52 D48:D49 J48:J49 D7:E43 J7:J43 G22:G47 B51:F51 F44:F47 E52:F52 G49 G51:L5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7" tint="-0.249977111117893"/>
    <pageSetUpPr fitToPage="1"/>
  </sheetPr>
  <dimension ref="A1:XEQ48"/>
  <sheetViews>
    <sheetView topLeftCell="M1" workbookViewId="0">
      <selection activeCell="Q14" sqref="Q14"/>
    </sheetView>
  </sheetViews>
  <sheetFormatPr defaultRowHeight="13.5"/>
  <cols>
    <col min="1" max="1" width="9.77734375" style="8" customWidth="1"/>
    <col min="2" max="10" width="8.77734375" style="5" hidden="1" customWidth="1"/>
    <col min="11" max="15" width="8.77734375" style="5" customWidth="1"/>
    <col min="16" max="16" width="8.77734375" style="8" customWidth="1"/>
    <col min="17" max="17" width="34.88671875" style="5" bestFit="1" customWidth="1"/>
    <col min="18" max="19" width="7.77734375" style="5" bestFit="1" customWidth="1"/>
    <col min="20" max="16371" width="8.88671875" style="5"/>
    <col min="16372" max="16384" width="8.88671875" style="6"/>
  </cols>
  <sheetData>
    <row r="1" spans="1:19" ht="32.1" customHeight="1">
      <c r="A1" s="257" t="s">
        <v>225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</row>
    <row r="2" spans="1:19" ht="1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"/>
    </row>
    <row r="3" spans="1:19">
      <c r="A3" s="258" t="s">
        <v>12</v>
      </c>
      <c r="B3" s="260" t="s">
        <v>69</v>
      </c>
      <c r="C3" s="261"/>
      <c r="D3" s="261"/>
      <c r="E3" s="261"/>
      <c r="F3" s="261"/>
      <c r="G3" s="261"/>
      <c r="H3" s="261"/>
      <c r="I3" s="261"/>
      <c r="J3" s="262"/>
      <c r="K3" s="259" t="s">
        <v>133</v>
      </c>
      <c r="L3" s="259" t="s">
        <v>70</v>
      </c>
      <c r="M3" s="259"/>
      <c r="N3" s="259"/>
      <c r="O3" s="263" t="s">
        <v>224</v>
      </c>
      <c r="P3" s="259" t="s">
        <v>74</v>
      </c>
      <c r="Q3" s="258" t="s">
        <v>65</v>
      </c>
    </row>
    <row r="4" spans="1:19">
      <c r="A4" s="258"/>
      <c r="B4" s="7" t="s">
        <v>35</v>
      </c>
      <c r="C4" s="7" t="s">
        <v>56</v>
      </c>
      <c r="D4" s="7" t="s">
        <v>102</v>
      </c>
      <c r="E4" s="7" t="s">
        <v>103</v>
      </c>
      <c r="F4" s="7" t="s">
        <v>105</v>
      </c>
      <c r="G4" s="7" t="s">
        <v>106</v>
      </c>
      <c r="H4" s="7" t="s">
        <v>107</v>
      </c>
      <c r="I4" s="41" t="s">
        <v>145</v>
      </c>
      <c r="J4" s="146" t="s">
        <v>192</v>
      </c>
      <c r="K4" s="259"/>
      <c r="L4" s="10" t="s">
        <v>51</v>
      </c>
      <c r="M4" s="40" t="s">
        <v>139</v>
      </c>
      <c r="N4" s="10" t="s">
        <v>34</v>
      </c>
      <c r="O4" s="264"/>
      <c r="P4" s="259"/>
      <c r="Q4" s="258"/>
    </row>
    <row r="5" spans="1:19">
      <c r="A5" s="22" t="s">
        <v>14</v>
      </c>
      <c r="B5" s="25">
        <f>SUM(B6:B47)</f>
        <v>159510</v>
      </c>
      <c r="C5" s="25">
        <f t="shared" ref="C5:J5" si="0">SUM(C6:C47)</f>
        <v>152000</v>
      </c>
      <c r="D5" s="25">
        <f t="shared" si="0"/>
        <v>153330</v>
      </c>
      <c r="E5" s="25">
        <f t="shared" si="0"/>
        <v>144290</v>
      </c>
      <c r="F5" s="25">
        <f t="shared" si="0"/>
        <v>151000</v>
      </c>
      <c r="G5" s="25">
        <f t="shared" si="0"/>
        <v>151370</v>
      </c>
      <c r="H5" s="25">
        <f t="shared" si="0"/>
        <v>152110</v>
      </c>
      <c r="I5" s="25">
        <f t="shared" si="0"/>
        <v>137090</v>
      </c>
      <c r="J5" s="25">
        <f t="shared" si="0"/>
        <v>164050</v>
      </c>
      <c r="K5" s="25">
        <f>SUM(K6:K47)</f>
        <v>2640</v>
      </c>
      <c r="L5" s="25">
        <f>SUM(L6:L47)</f>
        <v>154</v>
      </c>
      <c r="M5" s="25">
        <f>SUM(M6:M47)</f>
        <v>40</v>
      </c>
      <c r="N5" s="25">
        <f>SUM(N6:N43)</f>
        <v>194</v>
      </c>
      <c r="O5" s="25">
        <f>SUM(O6:O43)</f>
        <v>11130</v>
      </c>
      <c r="P5" s="25">
        <f>SUM(P6:P47)</f>
        <v>186680</v>
      </c>
      <c r="Q5" s="57"/>
      <c r="R5" s="60" t="s">
        <v>160</v>
      </c>
      <c r="S5" s="60" t="s">
        <v>161</v>
      </c>
    </row>
    <row r="6" spans="1:19">
      <c r="A6" s="73" t="s">
        <v>19</v>
      </c>
      <c r="B6" s="74">
        <v>2920</v>
      </c>
      <c r="C6" s="74">
        <v>2600</v>
      </c>
      <c r="D6" s="74">
        <v>2760</v>
      </c>
      <c r="E6" s="74">
        <v>2680</v>
      </c>
      <c r="F6" s="74">
        <v>2420</v>
      </c>
      <c r="G6" s="74">
        <v>2900</v>
      </c>
      <c r="H6" s="74">
        <v>3190</v>
      </c>
      <c r="I6" s="74">
        <v>2850</v>
      </c>
      <c r="J6" s="74">
        <v>3890</v>
      </c>
      <c r="K6" s="75">
        <f>VLOOKUP(A6,집배구수!$A$5:$G$42,6,FALSE)</f>
        <v>103</v>
      </c>
      <c r="L6" s="76">
        <f t="shared" ref="L6:L43" si="1">VLOOKUP(K6,$R$6:$S$12,2,1)</f>
        <v>8</v>
      </c>
      <c r="M6" s="77"/>
      <c r="N6" s="77">
        <f>SUM(L6:M6)</f>
        <v>8</v>
      </c>
      <c r="O6" s="77">
        <v>300</v>
      </c>
      <c r="P6" s="77">
        <f>ROUNDUP(N6*60240/1000*5,-1)+O6</f>
        <v>2710</v>
      </c>
      <c r="Q6" s="58"/>
      <c r="R6" s="61">
        <v>20</v>
      </c>
      <c r="S6" s="59">
        <v>0</v>
      </c>
    </row>
    <row r="7" spans="1:19">
      <c r="A7" s="78" t="s">
        <v>11</v>
      </c>
      <c r="B7" s="79">
        <v>1170</v>
      </c>
      <c r="C7" s="79">
        <v>1300</v>
      </c>
      <c r="D7" s="79">
        <v>1010</v>
      </c>
      <c r="E7" s="79">
        <v>1080</v>
      </c>
      <c r="F7" s="79">
        <v>1080</v>
      </c>
      <c r="G7" s="79">
        <v>1160</v>
      </c>
      <c r="H7" s="79">
        <v>1160</v>
      </c>
      <c r="I7" s="79">
        <v>1040</v>
      </c>
      <c r="J7" s="79">
        <v>1560</v>
      </c>
      <c r="K7" s="223">
        <f>VLOOKUP(A7,집배구수!$A$5:$G$42,6,FALSE)</f>
        <v>69</v>
      </c>
      <c r="L7" s="80">
        <f t="shared" si="1"/>
        <v>4</v>
      </c>
      <c r="M7" s="81"/>
      <c r="N7" s="81">
        <f>SUM(L7:M7)</f>
        <v>4</v>
      </c>
      <c r="O7" s="81">
        <v>250</v>
      </c>
      <c r="P7" s="81">
        <f t="shared" ref="P7:P43" si="2">ROUNDUP(N7*60240/1000*5,-1)+O7</f>
        <v>1460</v>
      </c>
      <c r="Q7" s="26" t="s">
        <v>43</v>
      </c>
      <c r="R7" s="61">
        <v>30</v>
      </c>
      <c r="S7" s="59">
        <v>0</v>
      </c>
    </row>
    <row r="8" spans="1:19">
      <c r="A8" s="78" t="s">
        <v>33</v>
      </c>
      <c r="B8" s="79">
        <v>1460</v>
      </c>
      <c r="C8" s="79">
        <v>1300</v>
      </c>
      <c r="D8" s="79">
        <v>1510</v>
      </c>
      <c r="E8" s="79">
        <v>1340</v>
      </c>
      <c r="F8" s="79">
        <v>1080</v>
      </c>
      <c r="G8" s="79">
        <v>1740</v>
      </c>
      <c r="H8" s="79">
        <v>1740</v>
      </c>
      <c r="I8" s="79">
        <v>1560</v>
      </c>
      <c r="J8" s="79">
        <v>1820</v>
      </c>
      <c r="K8" s="223">
        <f>VLOOKUP(A8,집배구수!$A$5:$G$42,6,FALSE)</f>
        <v>71</v>
      </c>
      <c r="L8" s="80">
        <f t="shared" si="1"/>
        <v>6</v>
      </c>
      <c r="M8" s="81"/>
      <c r="N8" s="81">
        <f t="shared" ref="N8:N43" si="3">SUM(L8:M8)</f>
        <v>6</v>
      </c>
      <c r="O8" s="81"/>
      <c r="P8" s="81">
        <f t="shared" si="2"/>
        <v>1810</v>
      </c>
      <c r="Q8" s="26" t="s">
        <v>229</v>
      </c>
      <c r="R8" s="61">
        <v>50</v>
      </c>
      <c r="S8" s="59">
        <v>4</v>
      </c>
    </row>
    <row r="9" spans="1:19">
      <c r="A9" s="78" t="s">
        <v>28</v>
      </c>
      <c r="B9" s="79">
        <v>3800</v>
      </c>
      <c r="C9" s="79">
        <v>3200</v>
      </c>
      <c r="D9" s="79">
        <v>2510</v>
      </c>
      <c r="E9" s="79">
        <v>2680</v>
      </c>
      <c r="F9" s="79">
        <v>3490</v>
      </c>
      <c r="G9" s="79">
        <v>2900</v>
      </c>
      <c r="H9" s="79">
        <v>2320</v>
      </c>
      <c r="I9" s="79">
        <v>2850</v>
      </c>
      <c r="J9" s="79">
        <v>2590</v>
      </c>
      <c r="K9" s="223">
        <f>VLOOKUP(A9,집배구수!$A$5:$G$42,6,FALSE)</f>
        <v>117</v>
      </c>
      <c r="L9" s="80">
        <f t="shared" si="1"/>
        <v>10</v>
      </c>
      <c r="M9" s="81">
        <v>1</v>
      </c>
      <c r="N9" s="81">
        <f t="shared" si="3"/>
        <v>11</v>
      </c>
      <c r="O9" s="81"/>
      <c r="P9" s="81">
        <f t="shared" si="2"/>
        <v>3320</v>
      </c>
      <c r="Q9" s="26" t="s">
        <v>230</v>
      </c>
      <c r="R9" s="61">
        <v>70</v>
      </c>
      <c r="S9" s="59">
        <v>6</v>
      </c>
    </row>
    <row r="10" spans="1:19">
      <c r="A10" s="78" t="s">
        <v>59</v>
      </c>
      <c r="B10" s="79">
        <v>1170</v>
      </c>
      <c r="C10" s="79">
        <v>1300</v>
      </c>
      <c r="D10" s="79">
        <v>1510</v>
      </c>
      <c r="E10" s="79">
        <v>1880</v>
      </c>
      <c r="F10" s="79">
        <v>1610</v>
      </c>
      <c r="G10" s="79">
        <v>1450</v>
      </c>
      <c r="H10" s="79">
        <v>2610</v>
      </c>
      <c r="I10" s="79">
        <v>2330</v>
      </c>
      <c r="J10" s="79">
        <v>1560</v>
      </c>
      <c r="K10" s="223">
        <f>VLOOKUP(A10,집배구수!$A$5:$G$42,6,FALSE)</f>
        <v>71</v>
      </c>
      <c r="L10" s="80">
        <f t="shared" si="1"/>
        <v>6</v>
      </c>
      <c r="M10" s="81"/>
      <c r="N10" s="81">
        <f t="shared" si="3"/>
        <v>6</v>
      </c>
      <c r="O10" s="81">
        <v>730</v>
      </c>
      <c r="P10" s="81">
        <f t="shared" si="2"/>
        <v>2540</v>
      </c>
      <c r="Q10" s="26" t="s">
        <v>231</v>
      </c>
      <c r="R10" s="61">
        <v>90</v>
      </c>
      <c r="S10" s="59">
        <v>8</v>
      </c>
    </row>
    <row r="11" spans="1:19">
      <c r="A11" s="78" t="s">
        <v>57</v>
      </c>
      <c r="B11" s="79">
        <v>1460</v>
      </c>
      <c r="C11" s="79">
        <v>1300</v>
      </c>
      <c r="D11" s="79">
        <v>1760</v>
      </c>
      <c r="E11" s="79">
        <v>1880</v>
      </c>
      <c r="F11" s="79">
        <v>1610</v>
      </c>
      <c r="G11" s="79">
        <v>1450</v>
      </c>
      <c r="H11" s="79">
        <v>1160</v>
      </c>
      <c r="I11" s="79">
        <v>1040</v>
      </c>
      <c r="J11" s="79">
        <v>2330</v>
      </c>
      <c r="K11" s="223">
        <f>VLOOKUP(A11,집배구수!$A$5:$G$42,6,FALSE)</f>
        <v>70</v>
      </c>
      <c r="L11" s="80">
        <f t="shared" si="1"/>
        <v>6</v>
      </c>
      <c r="M11" s="81"/>
      <c r="N11" s="81">
        <f t="shared" si="3"/>
        <v>6</v>
      </c>
      <c r="O11" s="81">
        <v>730</v>
      </c>
      <c r="P11" s="81">
        <f t="shared" si="2"/>
        <v>2540</v>
      </c>
      <c r="Q11" s="26" t="s">
        <v>228</v>
      </c>
      <c r="R11" s="61">
        <v>110</v>
      </c>
      <c r="S11" s="59">
        <v>10</v>
      </c>
    </row>
    <row r="12" spans="1:19" s="5" customFormat="1">
      <c r="A12" s="78" t="s">
        <v>53</v>
      </c>
      <c r="B12" s="79">
        <v>2050</v>
      </c>
      <c r="C12" s="79">
        <v>1800</v>
      </c>
      <c r="D12" s="79">
        <v>2010</v>
      </c>
      <c r="E12" s="79">
        <v>2150</v>
      </c>
      <c r="F12" s="79">
        <v>1880</v>
      </c>
      <c r="G12" s="79">
        <v>1740</v>
      </c>
      <c r="H12" s="79">
        <v>1740</v>
      </c>
      <c r="I12" s="79">
        <v>1560</v>
      </c>
      <c r="J12" s="79">
        <v>2080</v>
      </c>
      <c r="K12" s="223">
        <f>VLOOKUP(A12,집배구수!$A$5:$G$42,6,FALSE)</f>
        <v>82</v>
      </c>
      <c r="L12" s="80">
        <f t="shared" si="1"/>
        <v>6</v>
      </c>
      <c r="M12" s="81"/>
      <c r="N12" s="81">
        <f t="shared" si="3"/>
        <v>6</v>
      </c>
      <c r="O12" s="81"/>
      <c r="P12" s="81">
        <f t="shared" si="2"/>
        <v>1810</v>
      </c>
      <c r="Q12" s="26" t="s">
        <v>232</v>
      </c>
      <c r="R12" s="61">
        <v>120</v>
      </c>
      <c r="S12" s="59">
        <v>12</v>
      </c>
    </row>
    <row r="13" spans="1:19" s="5" customFormat="1">
      <c r="A13" s="78" t="s">
        <v>7</v>
      </c>
      <c r="B13" s="79">
        <v>4960</v>
      </c>
      <c r="C13" s="79">
        <v>3400</v>
      </c>
      <c r="D13" s="79">
        <v>3510</v>
      </c>
      <c r="E13" s="79">
        <v>3490</v>
      </c>
      <c r="F13" s="79">
        <v>3220</v>
      </c>
      <c r="G13" s="79"/>
      <c r="H13" s="79">
        <v>3480</v>
      </c>
      <c r="I13" s="79">
        <v>3630</v>
      </c>
      <c r="J13" s="79">
        <v>3370</v>
      </c>
      <c r="K13" s="223">
        <f>VLOOKUP(A13,집배구수!$A$5:$G$42,6,FALSE)</f>
        <v>112</v>
      </c>
      <c r="L13" s="80">
        <f t="shared" si="1"/>
        <v>10</v>
      </c>
      <c r="M13" s="81">
        <v>5</v>
      </c>
      <c r="N13" s="81">
        <f t="shared" si="3"/>
        <v>15</v>
      </c>
      <c r="O13" s="81"/>
      <c r="P13" s="81">
        <f t="shared" si="2"/>
        <v>4520</v>
      </c>
      <c r="Q13" s="26"/>
      <c r="R13" s="62" t="s">
        <v>158</v>
      </c>
      <c r="S13" s="59">
        <v>7530</v>
      </c>
    </row>
    <row r="14" spans="1:19" s="5" customFormat="1">
      <c r="A14" s="78" t="s">
        <v>25</v>
      </c>
      <c r="B14" s="79">
        <v>1460</v>
      </c>
      <c r="C14" s="79">
        <v>1300</v>
      </c>
      <c r="D14" s="79">
        <v>1510</v>
      </c>
      <c r="E14" s="79">
        <v>1340</v>
      </c>
      <c r="F14" s="79">
        <v>1080</v>
      </c>
      <c r="G14" s="79">
        <v>1160</v>
      </c>
      <c r="H14" s="79">
        <v>1160</v>
      </c>
      <c r="I14" s="79">
        <v>1040</v>
      </c>
      <c r="J14" s="79">
        <v>1560</v>
      </c>
      <c r="K14" s="223">
        <f>VLOOKUP(A14,집배구수!$A$5:$G$42,6,FALSE)</f>
        <v>60</v>
      </c>
      <c r="L14" s="80">
        <f t="shared" si="1"/>
        <v>4</v>
      </c>
      <c r="M14" s="81"/>
      <c r="N14" s="81">
        <f t="shared" si="3"/>
        <v>4</v>
      </c>
      <c r="O14" s="81"/>
      <c r="P14" s="81">
        <f t="shared" si="2"/>
        <v>1210</v>
      </c>
      <c r="Q14" s="26" t="s">
        <v>234</v>
      </c>
      <c r="R14" s="62" t="s">
        <v>159</v>
      </c>
      <c r="S14" s="59">
        <f>S13*8</f>
        <v>60240</v>
      </c>
    </row>
    <row r="15" spans="1:19" s="5" customFormat="1">
      <c r="A15" s="78" t="s">
        <v>60</v>
      </c>
      <c r="B15" s="79">
        <v>1170</v>
      </c>
      <c r="C15" s="79">
        <v>1300</v>
      </c>
      <c r="D15" s="79">
        <v>1260</v>
      </c>
      <c r="E15" s="79">
        <v>1080</v>
      </c>
      <c r="F15" s="79">
        <v>1080</v>
      </c>
      <c r="G15" s="79">
        <v>1160</v>
      </c>
      <c r="H15" s="79">
        <v>1160</v>
      </c>
      <c r="I15" s="79">
        <v>1040</v>
      </c>
      <c r="J15" s="79">
        <v>1560</v>
      </c>
      <c r="K15" s="223">
        <f>VLOOKUP(A15,집배구수!$A$5:$G$42,6,FALSE)</f>
        <v>56</v>
      </c>
      <c r="L15" s="80">
        <f t="shared" si="1"/>
        <v>4</v>
      </c>
      <c r="M15" s="81"/>
      <c r="N15" s="81">
        <f t="shared" si="3"/>
        <v>4</v>
      </c>
      <c r="O15" s="81">
        <v>600</v>
      </c>
      <c r="P15" s="81">
        <f t="shared" si="2"/>
        <v>1810</v>
      </c>
      <c r="Q15" s="26" t="s">
        <v>104</v>
      </c>
    </row>
    <row r="16" spans="1:19" s="5" customFormat="1">
      <c r="A16" s="78" t="s">
        <v>15</v>
      </c>
      <c r="B16" s="79">
        <v>590</v>
      </c>
      <c r="C16" s="79">
        <v>800</v>
      </c>
      <c r="D16" s="79">
        <v>510</v>
      </c>
      <c r="E16" s="79">
        <v>540</v>
      </c>
      <c r="F16" s="79">
        <v>540</v>
      </c>
      <c r="G16" s="79">
        <v>580</v>
      </c>
      <c r="H16" s="79">
        <v>1160</v>
      </c>
      <c r="I16" s="79">
        <v>1040</v>
      </c>
      <c r="J16" s="79">
        <v>1560</v>
      </c>
      <c r="K16" s="223">
        <f>VLOOKUP(A16,집배구수!$A$5:$G$42,6,FALSE)</f>
        <v>43</v>
      </c>
      <c r="L16" s="80">
        <f t="shared" si="1"/>
        <v>0</v>
      </c>
      <c r="M16" s="81"/>
      <c r="N16" s="81">
        <f t="shared" si="3"/>
        <v>0</v>
      </c>
      <c r="O16" s="81">
        <v>1270</v>
      </c>
      <c r="P16" s="81">
        <f t="shared" si="2"/>
        <v>1270</v>
      </c>
      <c r="Q16" s="26" t="s">
        <v>233</v>
      </c>
    </row>
    <row r="17" spans="1:17" s="5" customFormat="1">
      <c r="A17" s="78" t="s">
        <v>61</v>
      </c>
      <c r="B17" s="79">
        <v>880</v>
      </c>
      <c r="C17" s="79">
        <v>800</v>
      </c>
      <c r="D17" s="79">
        <v>760</v>
      </c>
      <c r="E17" s="79">
        <v>270</v>
      </c>
      <c r="F17" s="79">
        <v>270</v>
      </c>
      <c r="G17" s="79">
        <v>0</v>
      </c>
      <c r="H17" s="79">
        <v>1160</v>
      </c>
      <c r="I17" s="79">
        <v>1040</v>
      </c>
      <c r="J17" s="79">
        <v>1040</v>
      </c>
      <c r="K17" s="223">
        <f>VLOOKUP(A17,집배구수!$A$5:$G$42,6,FALSE)</f>
        <v>36</v>
      </c>
      <c r="L17" s="80">
        <f t="shared" si="1"/>
        <v>0</v>
      </c>
      <c r="M17" s="81">
        <v>2</v>
      </c>
      <c r="N17" s="81">
        <f t="shared" si="3"/>
        <v>2</v>
      </c>
      <c r="O17" s="81"/>
      <c r="P17" s="81">
        <f t="shared" si="2"/>
        <v>610</v>
      </c>
      <c r="Q17" s="27"/>
    </row>
    <row r="18" spans="1:17" s="5" customFormat="1">
      <c r="A18" s="78" t="s">
        <v>6</v>
      </c>
      <c r="B18" s="79">
        <v>4380</v>
      </c>
      <c r="C18" s="79">
        <v>3700</v>
      </c>
      <c r="D18" s="79">
        <v>4510</v>
      </c>
      <c r="E18" s="79">
        <v>4560</v>
      </c>
      <c r="F18" s="79">
        <v>4290</v>
      </c>
      <c r="G18" s="79">
        <v>10280</v>
      </c>
      <c r="H18" s="79">
        <v>4060</v>
      </c>
      <c r="I18" s="79">
        <v>4150</v>
      </c>
      <c r="J18" s="79">
        <v>5180</v>
      </c>
      <c r="K18" s="223">
        <f>VLOOKUP(A18,집배구수!$A$5:$G$42,6,FALSE)</f>
        <v>138</v>
      </c>
      <c r="L18" s="80">
        <f t="shared" si="1"/>
        <v>12</v>
      </c>
      <c r="M18" s="81">
        <v>6</v>
      </c>
      <c r="N18" s="81">
        <f t="shared" si="3"/>
        <v>18</v>
      </c>
      <c r="O18" s="81"/>
      <c r="P18" s="81">
        <f t="shared" si="2"/>
        <v>5430</v>
      </c>
      <c r="Q18" s="27"/>
    </row>
    <row r="19" spans="1:17" s="5" customFormat="1">
      <c r="A19" s="78" t="s">
        <v>39</v>
      </c>
      <c r="B19" s="79">
        <v>4090</v>
      </c>
      <c r="C19" s="79">
        <v>3700</v>
      </c>
      <c r="D19" s="79">
        <v>4260</v>
      </c>
      <c r="E19" s="79">
        <v>4290</v>
      </c>
      <c r="F19" s="79">
        <v>4020</v>
      </c>
      <c r="G19" s="79">
        <v>5210</v>
      </c>
      <c r="H19" s="79">
        <v>3770</v>
      </c>
      <c r="I19" s="79">
        <v>3890</v>
      </c>
      <c r="J19" s="79">
        <v>4400</v>
      </c>
      <c r="K19" s="223">
        <f>VLOOKUP(A19,집배구수!$A$5:$G$42,6,FALSE)</f>
        <v>127</v>
      </c>
      <c r="L19" s="80">
        <f t="shared" si="1"/>
        <v>12</v>
      </c>
      <c r="M19" s="81">
        <v>4</v>
      </c>
      <c r="N19" s="81">
        <f t="shared" si="3"/>
        <v>16</v>
      </c>
      <c r="O19" s="81"/>
      <c r="P19" s="81">
        <f t="shared" si="2"/>
        <v>4820</v>
      </c>
      <c r="Q19" s="27"/>
    </row>
    <row r="20" spans="1:17" s="5" customFormat="1">
      <c r="A20" s="78" t="s">
        <v>29</v>
      </c>
      <c r="B20" s="79">
        <v>1460</v>
      </c>
      <c r="C20" s="79">
        <v>1000</v>
      </c>
      <c r="D20" s="79">
        <v>1260</v>
      </c>
      <c r="E20" s="79">
        <v>1080</v>
      </c>
      <c r="F20" s="79">
        <v>1080</v>
      </c>
      <c r="G20" s="79">
        <v>1160</v>
      </c>
      <c r="H20" s="79">
        <v>870</v>
      </c>
      <c r="I20" s="79">
        <v>780</v>
      </c>
      <c r="J20" s="79">
        <v>1560</v>
      </c>
      <c r="K20" s="223">
        <f>VLOOKUP(A20,집배구수!$A$5:$G$42,6,FALSE)</f>
        <v>51</v>
      </c>
      <c r="L20" s="80">
        <f t="shared" si="1"/>
        <v>4</v>
      </c>
      <c r="M20" s="81"/>
      <c r="N20" s="81">
        <f t="shared" si="3"/>
        <v>4</v>
      </c>
      <c r="O20" s="81">
        <v>240</v>
      </c>
      <c r="P20" s="81">
        <f t="shared" si="2"/>
        <v>1450</v>
      </c>
      <c r="Q20" s="26"/>
    </row>
    <row r="21" spans="1:17" s="5" customFormat="1">
      <c r="A21" s="78" t="s">
        <v>37</v>
      </c>
      <c r="B21" s="79">
        <v>3210</v>
      </c>
      <c r="C21" s="79">
        <v>2400</v>
      </c>
      <c r="D21" s="79">
        <v>2260</v>
      </c>
      <c r="E21" s="79">
        <v>2420</v>
      </c>
      <c r="F21" s="79">
        <v>2420</v>
      </c>
      <c r="G21" s="79">
        <v>2610</v>
      </c>
      <c r="H21" s="79">
        <v>2900</v>
      </c>
      <c r="I21" s="79">
        <v>2590</v>
      </c>
      <c r="J21" s="79">
        <v>2590</v>
      </c>
      <c r="K21" s="223">
        <f>VLOOKUP(A21,집배구수!$A$5:$G$42,6,FALSE)</f>
        <v>113</v>
      </c>
      <c r="L21" s="80">
        <f t="shared" si="1"/>
        <v>10</v>
      </c>
      <c r="M21" s="81"/>
      <c r="N21" s="81">
        <f t="shared" si="3"/>
        <v>10</v>
      </c>
      <c r="O21" s="81"/>
      <c r="P21" s="81">
        <f t="shared" si="2"/>
        <v>3020</v>
      </c>
      <c r="Q21" s="26"/>
    </row>
    <row r="22" spans="1:17" s="5" customFormat="1">
      <c r="A22" s="78" t="s">
        <v>2</v>
      </c>
      <c r="B22" s="79">
        <v>1170</v>
      </c>
      <c r="C22" s="79">
        <v>500</v>
      </c>
      <c r="D22" s="79">
        <v>1260</v>
      </c>
      <c r="E22" s="79">
        <v>1340</v>
      </c>
      <c r="F22" s="79">
        <v>1080</v>
      </c>
      <c r="G22" s="79">
        <v>870</v>
      </c>
      <c r="H22" s="79">
        <v>580</v>
      </c>
      <c r="I22" s="79">
        <v>520</v>
      </c>
      <c r="J22" s="79">
        <v>1040</v>
      </c>
      <c r="K22" s="223">
        <f>VLOOKUP(A22,집배구수!$A$5:$G$42,6,FALSE)</f>
        <v>48</v>
      </c>
      <c r="L22" s="80">
        <f t="shared" si="1"/>
        <v>0</v>
      </c>
      <c r="M22" s="81"/>
      <c r="N22" s="81">
        <f t="shared" si="3"/>
        <v>0</v>
      </c>
      <c r="O22" s="81">
        <v>500</v>
      </c>
      <c r="P22" s="81">
        <f t="shared" si="2"/>
        <v>500</v>
      </c>
      <c r="Q22" s="26"/>
    </row>
    <row r="23" spans="1:17" s="5" customFormat="1">
      <c r="A23" s="78" t="s">
        <v>3</v>
      </c>
      <c r="B23" s="79">
        <v>4380</v>
      </c>
      <c r="C23" s="79">
        <v>3700</v>
      </c>
      <c r="D23" s="79">
        <v>3010</v>
      </c>
      <c r="E23" s="79">
        <v>3220</v>
      </c>
      <c r="F23" s="79">
        <v>4290</v>
      </c>
      <c r="G23" s="79">
        <v>4080</v>
      </c>
      <c r="H23" s="79">
        <v>4060</v>
      </c>
      <c r="I23" s="79">
        <v>3630</v>
      </c>
      <c r="J23" s="79">
        <v>3110</v>
      </c>
      <c r="K23" s="223">
        <f>VLOOKUP(A23,집배구수!$A$5:$G$42,6,FALSE)</f>
        <v>138</v>
      </c>
      <c r="L23" s="80">
        <f t="shared" si="1"/>
        <v>12</v>
      </c>
      <c r="M23" s="81">
        <v>6</v>
      </c>
      <c r="N23" s="81">
        <f t="shared" si="3"/>
        <v>18</v>
      </c>
      <c r="O23" s="81"/>
      <c r="P23" s="81">
        <f t="shared" si="2"/>
        <v>5430</v>
      </c>
      <c r="Q23" s="26"/>
    </row>
    <row r="24" spans="1:17" s="5" customFormat="1">
      <c r="A24" s="78" t="s">
        <v>5</v>
      </c>
      <c r="B24" s="79">
        <v>4380</v>
      </c>
      <c r="C24" s="79">
        <v>4000</v>
      </c>
      <c r="D24" s="79">
        <v>4510</v>
      </c>
      <c r="E24" s="79">
        <v>4560</v>
      </c>
      <c r="F24" s="79">
        <v>4290</v>
      </c>
      <c r="G24" s="79">
        <v>5210</v>
      </c>
      <c r="H24" s="79">
        <v>4060</v>
      </c>
      <c r="I24" s="79">
        <v>3110</v>
      </c>
      <c r="J24" s="79">
        <v>4150</v>
      </c>
      <c r="K24" s="223">
        <f>VLOOKUP(A24,집배구수!$A$5:$G$42,6,FALSE)</f>
        <v>136</v>
      </c>
      <c r="L24" s="80">
        <f t="shared" si="1"/>
        <v>12</v>
      </c>
      <c r="M24" s="81"/>
      <c r="N24" s="81">
        <f t="shared" si="3"/>
        <v>12</v>
      </c>
      <c r="O24" s="81">
        <v>2180</v>
      </c>
      <c r="P24" s="81">
        <f t="shared" si="2"/>
        <v>5800</v>
      </c>
      <c r="Q24" s="26"/>
    </row>
    <row r="25" spans="1:17" s="5" customFormat="1">
      <c r="A25" s="78" t="s">
        <v>23</v>
      </c>
      <c r="B25" s="79">
        <v>2340</v>
      </c>
      <c r="C25" s="79">
        <v>1800</v>
      </c>
      <c r="D25" s="79">
        <v>2760</v>
      </c>
      <c r="E25" s="79">
        <v>2150</v>
      </c>
      <c r="F25" s="79">
        <v>1880</v>
      </c>
      <c r="G25" s="79">
        <v>2610</v>
      </c>
      <c r="H25" s="79">
        <v>2320</v>
      </c>
      <c r="I25" s="79">
        <v>1560</v>
      </c>
      <c r="J25" s="79">
        <v>3110</v>
      </c>
      <c r="K25" s="223">
        <f>VLOOKUP(A25,집배구수!$A$5:$G$42,6,FALSE)</f>
        <v>82</v>
      </c>
      <c r="L25" s="80">
        <f t="shared" si="1"/>
        <v>6</v>
      </c>
      <c r="M25" s="81">
        <v>5</v>
      </c>
      <c r="N25" s="81">
        <f t="shared" si="3"/>
        <v>11</v>
      </c>
      <c r="O25" s="81"/>
      <c r="P25" s="81">
        <f t="shared" si="2"/>
        <v>3320</v>
      </c>
      <c r="Q25" s="26"/>
    </row>
    <row r="26" spans="1:17" s="5" customFormat="1">
      <c r="A26" s="78" t="s">
        <v>40</v>
      </c>
      <c r="B26" s="79">
        <v>2050</v>
      </c>
      <c r="C26" s="79">
        <v>1300</v>
      </c>
      <c r="D26" s="79">
        <v>2260</v>
      </c>
      <c r="E26" s="79">
        <v>2420</v>
      </c>
      <c r="F26" s="79">
        <v>2150</v>
      </c>
      <c r="G26" s="79">
        <v>2320</v>
      </c>
      <c r="H26" s="79">
        <v>2320</v>
      </c>
      <c r="I26" s="79">
        <v>2080</v>
      </c>
      <c r="J26" s="79">
        <v>2590</v>
      </c>
      <c r="K26" s="223">
        <f>VLOOKUP(A26,집배구수!$A$5:$G$42,6,FALSE)</f>
        <v>78</v>
      </c>
      <c r="L26" s="80">
        <f t="shared" si="1"/>
        <v>6</v>
      </c>
      <c r="M26" s="81">
        <v>3</v>
      </c>
      <c r="N26" s="81">
        <f t="shared" si="3"/>
        <v>9</v>
      </c>
      <c r="O26" s="81"/>
      <c r="P26" s="81">
        <f t="shared" si="2"/>
        <v>2720</v>
      </c>
      <c r="Q26" s="26"/>
    </row>
    <row r="27" spans="1:17" s="5" customFormat="1">
      <c r="A27" s="78" t="s">
        <v>31</v>
      </c>
      <c r="B27" s="79">
        <v>590</v>
      </c>
      <c r="C27" s="79">
        <v>800</v>
      </c>
      <c r="D27" s="79">
        <v>1010</v>
      </c>
      <c r="E27" s="79">
        <v>1080</v>
      </c>
      <c r="F27" s="79">
        <v>1080</v>
      </c>
      <c r="G27" s="79">
        <v>1160</v>
      </c>
      <c r="H27" s="79">
        <v>1160</v>
      </c>
      <c r="I27" s="79">
        <v>1040</v>
      </c>
      <c r="J27" s="79">
        <v>1560</v>
      </c>
      <c r="K27" s="223">
        <f>VLOOKUP(A27,집배구수!$A$5:$G$42,6,FALSE)</f>
        <v>62</v>
      </c>
      <c r="L27" s="80">
        <f t="shared" si="1"/>
        <v>4</v>
      </c>
      <c r="M27" s="81"/>
      <c r="N27" s="81">
        <f t="shared" si="3"/>
        <v>4</v>
      </c>
      <c r="O27" s="81">
        <v>600</v>
      </c>
      <c r="P27" s="81">
        <f t="shared" si="2"/>
        <v>1810</v>
      </c>
      <c r="Q27" s="26"/>
    </row>
    <row r="28" spans="1:17" s="5" customFormat="1">
      <c r="A28" s="78" t="s">
        <v>64</v>
      </c>
      <c r="B28" s="79">
        <v>1170</v>
      </c>
      <c r="C28" s="79">
        <v>800</v>
      </c>
      <c r="D28" s="79">
        <v>1260</v>
      </c>
      <c r="E28" s="79">
        <v>2420</v>
      </c>
      <c r="F28" s="79">
        <v>2150</v>
      </c>
      <c r="G28" s="79">
        <v>3960</v>
      </c>
      <c r="H28" s="79">
        <v>2320</v>
      </c>
      <c r="I28" s="79">
        <v>2080</v>
      </c>
      <c r="J28" s="79">
        <v>2080</v>
      </c>
      <c r="K28" s="223">
        <f>VLOOKUP(A28,집배구수!$A$5:$G$42,6,FALSE)</f>
        <v>50</v>
      </c>
      <c r="L28" s="80">
        <f t="shared" si="1"/>
        <v>4</v>
      </c>
      <c r="M28" s="81">
        <v>4</v>
      </c>
      <c r="N28" s="81">
        <f t="shared" si="3"/>
        <v>8</v>
      </c>
      <c r="O28" s="81"/>
      <c r="P28" s="81">
        <f t="shared" si="2"/>
        <v>2410</v>
      </c>
      <c r="Q28" s="26"/>
    </row>
    <row r="29" spans="1:17" s="5" customFormat="1">
      <c r="A29" s="78" t="s">
        <v>8</v>
      </c>
      <c r="B29" s="79">
        <v>1760</v>
      </c>
      <c r="C29" s="79">
        <v>800</v>
      </c>
      <c r="D29" s="79">
        <v>1260</v>
      </c>
      <c r="E29" s="79">
        <v>2150</v>
      </c>
      <c r="F29" s="79">
        <v>2150</v>
      </c>
      <c r="G29" s="79">
        <v>1740</v>
      </c>
      <c r="H29" s="79">
        <v>2320</v>
      </c>
      <c r="I29" s="79">
        <v>2590</v>
      </c>
      <c r="J29" s="79">
        <v>3630</v>
      </c>
      <c r="K29" s="223">
        <f>VLOOKUP(A29,집배구수!$A$5:$G$42,6,FALSE)</f>
        <v>45</v>
      </c>
      <c r="L29" s="80">
        <f t="shared" si="1"/>
        <v>0</v>
      </c>
      <c r="M29" s="81">
        <v>4</v>
      </c>
      <c r="N29" s="81">
        <f t="shared" si="3"/>
        <v>4</v>
      </c>
      <c r="O29" s="81">
        <v>1300</v>
      </c>
      <c r="P29" s="81">
        <f t="shared" si="2"/>
        <v>2510</v>
      </c>
      <c r="Q29" s="26"/>
    </row>
    <row r="30" spans="1:17" s="5" customFormat="1">
      <c r="A30" s="78" t="s">
        <v>13</v>
      </c>
      <c r="B30" s="79">
        <v>1170</v>
      </c>
      <c r="C30" s="79">
        <v>1000</v>
      </c>
      <c r="D30" s="79">
        <v>1010</v>
      </c>
      <c r="E30" s="79">
        <v>1610</v>
      </c>
      <c r="F30" s="79">
        <v>1340</v>
      </c>
      <c r="G30" s="79">
        <v>870</v>
      </c>
      <c r="H30" s="79">
        <v>580</v>
      </c>
      <c r="I30" s="79">
        <v>520</v>
      </c>
      <c r="J30" s="79">
        <v>1560</v>
      </c>
      <c r="K30" s="223">
        <f>VLOOKUP(A30,집배구수!$A$5:$G$42,6,FALSE)</f>
        <v>43</v>
      </c>
      <c r="L30" s="80">
        <f t="shared" si="1"/>
        <v>0</v>
      </c>
      <c r="M30" s="81"/>
      <c r="N30" s="81">
        <f t="shared" si="3"/>
        <v>0</v>
      </c>
      <c r="O30" s="81">
        <v>500</v>
      </c>
      <c r="P30" s="81">
        <f t="shared" si="2"/>
        <v>500</v>
      </c>
      <c r="Q30" s="26"/>
    </row>
    <row r="31" spans="1:17" s="5" customFormat="1">
      <c r="A31" s="78" t="s">
        <v>4</v>
      </c>
      <c r="B31" s="79">
        <v>0</v>
      </c>
      <c r="C31" s="79">
        <v>500</v>
      </c>
      <c r="D31" s="79">
        <v>0</v>
      </c>
      <c r="E31" s="79">
        <v>0</v>
      </c>
      <c r="F31" s="79">
        <v>270</v>
      </c>
      <c r="G31" s="79">
        <v>0</v>
      </c>
      <c r="H31" s="79">
        <v>580</v>
      </c>
      <c r="I31" s="79">
        <v>3110</v>
      </c>
      <c r="J31" s="79">
        <v>3370</v>
      </c>
      <c r="K31" s="223">
        <f>VLOOKUP(A31,집배구수!$A$5:$G$42,6,FALSE)</f>
        <v>37</v>
      </c>
      <c r="L31" s="80">
        <f t="shared" si="1"/>
        <v>0</v>
      </c>
      <c r="M31" s="81"/>
      <c r="N31" s="81">
        <f t="shared" si="3"/>
        <v>0</v>
      </c>
      <c r="O31" s="81"/>
      <c r="P31" s="81">
        <f t="shared" si="2"/>
        <v>0</v>
      </c>
      <c r="Q31" s="26"/>
    </row>
    <row r="32" spans="1:17" s="5" customFormat="1">
      <c r="A32" s="78" t="s">
        <v>36</v>
      </c>
      <c r="B32" s="79">
        <v>0</v>
      </c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223">
        <f>VLOOKUP(A32,집배구수!$A$5:$G$42,6,FALSE)</f>
        <v>35</v>
      </c>
      <c r="L32" s="80">
        <f t="shared" si="1"/>
        <v>0</v>
      </c>
      <c r="M32" s="81"/>
      <c r="N32" s="81">
        <f t="shared" si="3"/>
        <v>0</v>
      </c>
      <c r="O32" s="81"/>
      <c r="P32" s="81">
        <f t="shared" si="2"/>
        <v>0</v>
      </c>
      <c r="Q32" s="26"/>
    </row>
    <row r="33" spans="1:17" s="5" customFormat="1">
      <c r="A33" s="78" t="s">
        <v>18</v>
      </c>
      <c r="B33" s="79">
        <v>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223">
        <f>VLOOKUP(A33,집배구수!$A$5:$G$42,6,FALSE)</f>
        <v>30</v>
      </c>
      <c r="L33" s="80">
        <f t="shared" si="1"/>
        <v>0</v>
      </c>
      <c r="M33" s="81"/>
      <c r="N33" s="81">
        <f t="shared" si="3"/>
        <v>0</v>
      </c>
      <c r="O33" s="81"/>
      <c r="P33" s="81">
        <f t="shared" si="2"/>
        <v>0</v>
      </c>
      <c r="Q33" s="26"/>
    </row>
    <row r="34" spans="1:17">
      <c r="A34" s="78" t="s">
        <v>50</v>
      </c>
      <c r="B34" s="79">
        <v>590</v>
      </c>
      <c r="C34" s="79">
        <v>1000</v>
      </c>
      <c r="D34" s="79">
        <v>1010</v>
      </c>
      <c r="E34" s="79">
        <v>1080</v>
      </c>
      <c r="F34" s="79">
        <v>1080</v>
      </c>
      <c r="G34" s="79">
        <v>1160</v>
      </c>
      <c r="H34" s="79">
        <v>1160</v>
      </c>
      <c r="I34" s="79">
        <v>1040</v>
      </c>
      <c r="J34" s="79">
        <v>1040</v>
      </c>
      <c r="K34" s="223">
        <f>VLOOKUP(A34,집배구수!$A$5:$G$42,6,FALSE)</f>
        <v>56</v>
      </c>
      <c r="L34" s="80">
        <f t="shared" si="1"/>
        <v>4</v>
      </c>
      <c r="M34" s="81"/>
      <c r="N34" s="81">
        <f t="shared" si="3"/>
        <v>4</v>
      </c>
      <c r="O34" s="81"/>
      <c r="P34" s="81">
        <f t="shared" si="2"/>
        <v>1210</v>
      </c>
      <c r="Q34" s="26"/>
    </row>
    <row r="35" spans="1:17">
      <c r="A35" s="78" t="s">
        <v>24</v>
      </c>
      <c r="B35" s="79">
        <v>590</v>
      </c>
      <c r="C35" s="79">
        <v>500</v>
      </c>
      <c r="D35" s="79">
        <v>510</v>
      </c>
      <c r="E35" s="79">
        <v>540</v>
      </c>
      <c r="F35" s="79">
        <v>1080</v>
      </c>
      <c r="G35" s="79">
        <v>1580</v>
      </c>
      <c r="H35" s="79">
        <v>1450</v>
      </c>
      <c r="I35" s="79">
        <v>1300</v>
      </c>
      <c r="J35" s="79">
        <v>2080</v>
      </c>
      <c r="K35" s="223">
        <f>VLOOKUP(A35,집배구수!$A$5:$G$42,6,FALSE)</f>
        <v>52</v>
      </c>
      <c r="L35" s="80">
        <f t="shared" si="1"/>
        <v>4</v>
      </c>
      <c r="M35" s="81"/>
      <c r="N35" s="81">
        <f t="shared" si="3"/>
        <v>4</v>
      </c>
      <c r="O35" s="81">
        <v>1200</v>
      </c>
      <c r="P35" s="81">
        <f t="shared" si="2"/>
        <v>2410</v>
      </c>
      <c r="Q35" s="26"/>
    </row>
    <row r="36" spans="1:17">
      <c r="A36" s="78" t="s">
        <v>21</v>
      </c>
      <c r="B36" s="79">
        <v>590</v>
      </c>
      <c r="C36" s="79">
        <v>500</v>
      </c>
      <c r="D36" s="79">
        <v>510</v>
      </c>
      <c r="E36" s="79">
        <v>540</v>
      </c>
      <c r="F36" s="79">
        <v>540</v>
      </c>
      <c r="G36" s="79">
        <v>580</v>
      </c>
      <c r="H36" s="79">
        <v>580</v>
      </c>
      <c r="I36" s="79">
        <v>520</v>
      </c>
      <c r="J36" s="79">
        <v>1040</v>
      </c>
      <c r="K36" s="223">
        <f>VLOOKUP(A36,집배구수!$A$5:$G$42,6,FALSE)</f>
        <v>49</v>
      </c>
      <c r="L36" s="80">
        <f t="shared" si="1"/>
        <v>0</v>
      </c>
      <c r="M36" s="81"/>
      <c r="N36" s="81">
        <f t="shared" si="3"/>
        <v>0</v>
      </c>
      <c r="O36" s="81">
        <v>730</v>
      </c>
      <c r="P36" s="81">
        <f t="shared" si="2"/>
        <v>730</v>
      </c>
      <c r="Q36" s="26"/>
    </row>
    <row r="37" spans="1:17" s="5" customFormat="1">
      <c r="A37" s="78" t="s">
        <v>1</v>
      </c>
      <c r="B37" s="79">
        <v>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520</v>
      </c>
      <c r="J37" s="79">
        <v>0</v>
      </c>
      <c r="K37" s="223">
        <f>VLOOKUP(A37,집배구수!$A$5:$G$42,6,FALSE)</f>
        <v>27</v>
      </c>
      <c r="L37" s="80">
        <f t="shared" si="1"/>
        <v>0</v>
      </c>
      <c r="M37" s="81"/>
      <c r="N37" s="81">
        <f t="shared" si="3"/>
        <v>0</v>
      </c>
      <c r="O37" s="81"/>
      <c r="P37" s="81">
        <f t="shared" si="2"/>
        <v>0</v>
      </c>
      <c r="Q37" s="26"/>
    </row>
    <row r="38" spans="1:17" s="5" customFormat="1">
      <c r="A38" s="78" t="s">
        <v>26</v>
      </c>
      <c r="B38" s="79">
        <v>0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223">
        <f>VLOOKUP(A38,집배구수!$A$5:$G$42,6,FALSE)</f>
        <v>21</v>
      </c>
      <c r="L38" s="80">
        <f t="shared" si="1"/>
        <v>0</v>
      </c>
      <c r="M38" s="81"/>
      <c r="N38" s="81">
        <f t="shared" si="3"/>
        <v>0</v>
      </c>
      <c r="O38" s="81"/>
      <c r="P38" s="81">
        <f t="shared" si="2"/>
        <v>0</v>
      </c>
      <c r="Q38" s="26"/>
    </row>
    <row r="39" spans="1:17" s="5" customFormat="1">
      <c r="A39" s="78" t="s">
        <v>16</v>
      </c>
      <c r="B39" s="79">
        <v>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223">
        <f>VLOOKUP(A39,집배구수!$A$5:$G$42,6,FALSE)</f>
        <v>32</v>
      </c>
      <c r="L39" s="80">
        <f t="shared" si="1"/>
        <v>0</v>
      </c>
      <c r="M39" s="81"/>
      <c r="N39" s="81">
        <f t="shared" si="3"/>
        <v>0</v>
      </c>
      <c r="O39" s="81"/>
      <c r="P39" s="81">
        <f t="shared" si="2"/>
        <v>0</v>
      </c>
      <c r="Q39" s="26"/>
    </row>
    <row r="40" spans="1:17" s="5" customFormat="1">
      <c r="A40" s="78" t="s">
        <v>27</v>
      </c>
      <c r="B40" s="79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520</v>
      </c>
      <c r="J40" s="79">
        <v>520</v>
      </c>
      <c r="K40" s="223">
        <f>VLOOKUP(A40,집배구수!$A$5:$G$42,6,FALSE)</f>
        <v>37</v>
      </c>
      <c r="L40" s="80">
        <f t="shared" si="1"/>
        <v>0</v>
      </c>
      <c r="M40" s="81"/>
      <c r="N40" s="81">
        <f t="shared" si="3"/>
        <v>0</v>
      </c>
      <c r="O40" s="81"/>
      <c r="P40" s="81">
        <f t="shared" si="2"/>
        <v>0</v>
      </c>
      <c r="Q40" s="26"/>
    </row>
    <row r="41" spans="1:17" s="5" customFormat="1">
      <c r="A41" s="78" t="s">
        <v>10</v>
      </c>
      <c r="B41" s="79">
        <v>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223">
        <f>VLOOKUP(A41,집배구수!$A$5:$G$42,6,FALSE)</f>
        <v>33</v>
      </c>
      <c r="L41" s="80">
        <f t="shared" si="1"/>
        <v>0</v>
      </c>
      <c r="M41" s="81"/>
      <c r="N41" s="81">
        <f t="shared" si="3"/>
        <v>0</v>
      </c>
      <c r="O41" s="81"/>
      <c r="P41" s="81">
        <f t="shared" si="2"/>
        <v>0</v>
      </c>
      <c r="Q41" s="26"/>
    </row>
    <row r="42" spans="1:17" s="5" customFormat="1">
      <c r="A42" s="78" t="s">
        <v>17</v>
      </c>
      <c r="B42" s="79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580</v>
      </c>
      <c r="I42" s="79">
        <v>520</v>
      </c>
      <c r="J42" s="79">
        <v>520</v>
      </c>
      <c r="K42" s="223">
        <f>VLOOKUP(A42,집배구수!$A$5:$G$42,6,FALSE)</f>
        <v>27</v>
      </c>
      <c r="L42" s="80">
        <f t="shared" si="1"/>
        <v>0</v>
      </c>
      <c r="M42" s="81"/>
      <c r="N42" s="81">
        <f t="shared" si="3"/>
        <v>0</v>
      </c>
      <c r="O42" s="81"/>
      <c r="P42" s="81">
        <f t="shared" si="2"/>
        <v>0</v>
      </c>
      <c r="Q42" s="26"/>
    </row>
    <row r="43" spans="1:17" s="5" customFormat="1">
      <c r="A43" s="78" t="s">
        <v>38</v>
      </c>
      <c r="B43" s="79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223">
        <f>VLOOKUP(A43,집배구수!$A$5:$G$42,6,FALSE)</f>
        <v>39</v>
      </c>
      <c r="L43" s="80">
        <f t="shared" si="1"/>
        <v>0</v>
      </c>
      <c r="M43" s="81"/>
      <c r="N43" s="81">
        <f t="shared" si="3"/>
        <v>0</v>
      </c>
      <c r="O43" s="81"/>
      <c r="P43" s="81">
        <f t="shared" si="2"/>
        <v>0</v>
      </c>
      <c r="Q43" s="26"/>
    </row>
    <row r="44" spans="1:17">
      <c r="A44" s="78" t="s">
        <v>86</v>
      </c>
      <c r="B44" s="79">
        <v>48000</v>
      </c>
      <c r="C44" s="79">
        <v>48100</v>
      </c>
      <c r="D44" s="79">
        <v>45020</v>
      </c>
      <c r="E44" s="79">
        <v>45540</v>
      </c>
      <c r="F44" s="79">
        <v>49560</v>
      </c>
      <c r="G44" s="79">
        <v>41970</v>
      </c>
      <c r="H44" s="79">
        <v>45150</v>
      </c>
      <c r="I44" s="79">
        <v>40000</v>
      </c>
      <c r="J44" s="79">
        <v>46000</v>
      </c>
      <c r="K44" s="81">
        <v>78</v>
      </c>
      <c r="L44" s="81"/>
      <c r="M44" s="81"/>
      <c r="N44" s="81">
        <f>SUM(K44:M44)</f>
        <v>78</v>
      </c>
      <c r="O44" s="81"/>
      <c r="P44" s="81">
        <f>ROUNDDOWN(N44*60240/1000*12,-3)</f>
        <v>56000</v>
      </c>
      <c r="Q44" s="26"/>
    </row>
    <row r="45" spans="1:17">
      <c r="A45" s="78" t="s">
        <v>87</v>
      </c>
      <c r="B45" s="79">
        <v>18000</v>
      </c>
      <c r="C45" s="79">
        <v>19500</v>
      </c>
      <c r="D45" s="79">
        <v>17510</v>
      </c>
      <c r="E45" s="79">
        <v>13400</v>
      </c>
      <c r="F45" s="79">
        <v>14740</v>
      </c>
      <c r="G45" s="79">
        <v>15920</v>
      </c>
      <c r="H45" s="79">
        <v>17560</v>
      </c>
      <c r="I45" s="79">
        <v>14000</v>
      </c>
      <c r="J45" s="79">
        <v>16000</v>
      </c>
      <c r="K45" s="81">
        <v>28</v>
      </c>
      <c r="L45" s="81"/>
      <c r="M45" s="81"/>
      <c r="N45" s="81">
        <f t="shared" ref="N45:N47" si="4">SUM(K45:M45)</f>
        <v>28</v>
      </c>
      <c r="O45" s="81"/>
      <c r="P45" s="81">
        <f t="shared" ref="P45:P47" si="5">ROUNDDOWN(N45*60240/1000*12,-3)</f>
        <v>20000</v>
      </c>
      <c r="Q45" s="26"/>
    </row>
    <row r="46" spans="1:17">
      <c r="A46" s="78" t="s">
        <v>88</v>
      </c>
      <c r="B46" s="79">
        <v>18500</v>
      </c>
      <c r="C46" s="79">
        <v>20000</v>
      </c>
      <c r="D46" s="79">
        <v>17510</v>
      </c>
      <c r="E46" s="79">
        <v>13400</v>
      </c>
      <c r="F46" s="79">
        <v>14740</v>
      </c>
      <c r="G46" s="79">
        <v>15920</v>
      </c>
      <c r="H46" s="79">
        <v>16280</v>
      </c>
      <c r="I46" s="79">
        <v>13000</v>
      </c>
      <c r="J46" s="79">
        <v>17000</v>
      </c>
      <c r="K46" s="81">
        <v>30</v>
      </c>
      <c r="L46" s="81"/>
      <c r="M46" s="81"/>
      <c r="N46" s="81">
        <f t="shared" si="4"/>
        <v>30</v>
      </c>
      <c r="O46" s="81"/>
      <c r="P46" s="81">
        <f t="shared" si="5"/>
        <v>21000</v>
      </c>
      <c r="Q46" s="26"/>
    </row>
    <row r="47" spans="1:17">
      <c r="A47" s="82" t="s">
        <v>89</v>
      </c>
      <c r="B47" s="83">
        <v>18000</v>
      </c>
      <c r="C47" s="83">
        <v>16000</v>
      </c>
      <c r="D47" s="83">
        <v>20010</v>
      </c>
      <c r="E47" s="83">
        <v>16080</v>
      </c>
      <c r="F47" s="83">
        <v>17410</v>
      </c>
      <c r="G47" s="83">
        <v>15920</v>
      </c>
      <c r="H47" s="83">
        <v>15410</v>
      </c>
      <c r="I47" s="83">
        <v>13000</v>
      </c>
      <c r="J47" s="83">
        <v>15000</v>
      </c>
      <c r="K47" s="84">
        <v>28</v>
      </c>
      <c r="L47" s="84"/>
      <c r="M47" s="84"/>
      <c r="N47" s="84">
        <f t="shared" si="4"/>
        <v>28</v>
      </c>
      <c r="O47" s="84"/>
      <c r="P47" s="84">
        <f t="shared" si="5"/>
        <v>20000</v>
      </c>
      <c r="Q47" s="28"/>
    </row>
    <row r="48" spans="1:17">
      <c r="A48" s="8">
        <v>1</v>
      </c>
      <c r="B48" s="8">
        <v>2</v>
      </c>
      <c r="C48" s="8">
        <v>3</v>
      </c>
      <c r="D48" s="8">
        <v>4</v>
      </c>
      <c r="E48" s="8">
        <v>5</v>
      </c>
      <c r="F48" s="8">
        <v>6</v>
      </c>
      <c r="G48" s="8">
        <v>7</v>
      </c>
      <c r="H48" s="8">
        <v>8</v>
      </c>
      <c r="I48" s="8">
        <v>9</v>
      </c>
      <c r="J48" s="8">
        <v>10</v>
      </c>
      <c r="K48" s="8">
        <v>11</v>
      </c>
      <c r="L48" s="8">
        <v>12</v>
      </c>
      <c r="M48" s="8">
        <v>13</v>
      </c>
      <c r="N48" s="8">
        <v>14</v>
      </c>
      <c r="O48" s="8"/>
      <c r="P48" s="8">
        <v>15</v>
      </c>
      <c r="Q48" s="8"/>
    </row>
  </sheetData>
  <mergeCells count="8">
    <mergeCell ref="A1:Q1"/>
    <mergeCell ref="A3:A4"/>
    <mergeCell ref="K3:K4"/>
    <mergeCell ref="L3:N3"/>
    <mergeCell ref="P3:P4"/>
    <mergeCell ref="Q3:Q4"/>
    <mergeCell ref="B3:J3"/>
    <mergeCell ref="O3:O4"/>
  </mergeCells>
  <phoneticPr fontId="5" type="noConversion"/>
  <printOptions horizontalCentered="1"/>
  <pageMargins left="0.39370078740157483" right="0.39370078740157483" top="0.31496062992125984" bottom="0.19685039370078741" header="0.27559055118110237" footer="0.31496062992125984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7" tint="-0.249977111117893"/>
    <pageSetUpPr fitToPage="1"/>
  </sheetPr>
  <dimension ref="A1:P48"/>
  <sheetViews>
    <sheetView topLeftCell="J13" workbookViewId="0">
      <selection activeCell="N45" sqref="N45"/>
    </sheetView>
  </sheetViews>
  <sheetFormatPr defaultRowHeight="13.5"/>
  <cols>
    <col min="1" max="1" width="9.77734375" style="8" customWidth="1"/>
    <col min="2" max="15" width="8.77734375" style="5" customWidth="1"/>
    <col min="16" max="16" width="40" style="5" bestFit="1" customWidth="1"/>
    <col min="17" max="16384" width="8.88671875" style="5"/>
  </cols>
  <sheetData>
    <row r="1" spans="1:16" ht="32.1" customHeight="1">
      <c r="A1" s="257" t="s">
        <v>48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</row>
    <row r="2" spans="1:16" ht="1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"/>
    </row>
    <row r="3" spans="1:16" ht="13.5" customHeight="1">
      <c r="A3" s="258" t="s">
        <v>12</v>
      </c>
      <c r="B3" s="260" t="s">
        <v>69</v>
      </c>
      <c r="C3" s="261"/>
      <c r="D3" s="261"/>
      <c r="E3" s="261"/>
      <c r="F3" s="261"/>
      <c r="G3" s="261"/>
      <c r="H3" s="261"/>
      <c r="I3" s="261"/>
      <c r="J3" s="262"/>
      <c r="K3" s="259" t="s">
        <v>51</v>
      </c>
      <c r="L3" s="259" t="s">
        <v>46</v>
      </c>
      <c r="M3" s="259"/>
      <c r="N3" s="259"/>
      <c r="O3" s="259"/>
      <c r="P3" s="258" t="s">
        <v>65</v>
      </c>
    </row>
    <row r="4" spans="1:16">
      <c r="A4" s="258"/>
      <c r="B4" s="24" t="s">
        <v>35</v>
      </c>
      <c r="C4" s="7" t="s">
        <v>56</v>
      </c>
      <c r="D4" s="7" t="s">
        <v>75</v>
      </c>
      <c r="E4" s="7" t="s">
        <v>103</v>
      </c>
      <c r="F4" s="7" t="s">
        <v>105</v>
      </c>
      <c r="G4" s="7" t="s">
        <v>106</v>
      </c>
      <c r="H4" s="7" t="s">
        <v>107</v>
      </c>
      <c r="I4" s="41" t="s">
        <v>145</v>
      </c>
      <c r="J4" s="146" t="s">
        <v>192</v>
      </c>
      <c r="K4" s="258"/>
      <c r="L4" s="10" t="s">
        <v>123</v>
      </c>
      <c r="M4" s="21" t="s">
        <v>54</v>
      </c>
      <c r="N4" s="21" t="s">
        <v>45</v>
      </c>
      <c r="O4" s="7" t="s">
        <v>22</v>
      </c>
      <c r="P4" s="258"/>
    </row>
    <row r="5" spans="1:16">
      <c r="A5" s="22" t="s">
        <v>14</v>
      </c>
      <c r="B5" s="25">
        <f>SUM(B6:B47)</f>
        <v>113000</v>
      </c>
      <c r="C5" s="25">
        <f t="shared" ref="C5:K5" si="0">SUM(C6:C47)</f>
        <v>91600</v>
      </c>
      <c r="D5" s="25">
        <f t="shared" si="0"/>
        <v>110690</v>
      </c>
      <c r="E5" s="25">
        <f t="shared" si="0"/>
        <v>122990</v>
      </c>
      <c r="F5" s="25">
        <f t="shared" si="0"/>
        <v>130650</v>
      </c>
      <c r="G5" s="25">
        <f t="shared" si="0"/>
        <v>78700</v>
      </c>
      <c r="H5" s="25">
        <f t="shared" si="0"/>
        <v>138280</v>
      </c>
      <c r="I5" s="25">
        <f t="shared" si="0"/>
        <v>83810</v>
      </c>
      <c r="J5" s="25"/>
      <c r="K5" s="25">
        <f t="shared" si="0"/>
        <v>3044</v>
      </c>
      <c r="L5" s="25">
        <f>SUM(L6:L47)</f>
        <v>53140</v>
      </c>
      <c r="M5" s="25">
        <f t="shared" ref="M5:N5" si="1">SUM(M6:M47)</f>
        <v>37335</v>
      </c>
      <c r="N5" s="25">
        <f t="shared" si="1"/>
        <v>14200</v>
      </c>
      <c r="O5" s="25">
        <f>SUM(O6:O47)</f>
        <v>104700</v>
      </c>
      <c r="P5" s="181"/>
    </row>
    <row r="6" spans="1:16">
      <c r="A6" s="73" t="s">
        <v>19</v>
      </c>
      <c r="B6" s="85">
        <v>2950</v>
      </c>
      <c r="C6" s="74">
        <v>2700</v>
      </c>
      <c r="D6" s="74">
        <v>2790</v>
      </c>
      <c r="E6" s="74">
        <v>3350</v>
      </c>
      <c r="F6" s="74">
        <v>3480</v>
      </c>
      <c r="G6" s="74">
        <v>3640</v>
      </c>
      <c r="H6" s="74">
        <v>4160</v>
      </c>
      <c r="I6" s="74">
        <v>3120</v>
      </c>
      <c r="J6" s="74">
        <v>4120</v>
      </c>
      <c r="K6" s="74">
        <f>VLOOKUP(A6,집배구수!$A$5:$G$42,6,FALSE)</f>
        <v>103</v>
      </c>
      <c r="L6" s="77">
        <f>K6*15</f>
        <v>1545</v>
      </c>
      <c r="M6" s="77">
        <f>K6*15</f>
        <v>1545</v>
      </c>
      <c r="N6" s="77"/>
      <c r="O6" s="77">
        <f>ROUNDDOWN(L6+M6+N6,-2)+1000</f>
        <v>4000</v>
      </c>
      <c r="P6" s="26" t="s">
        <v>47</v>
      </c>
    </row>
    <row r="7" spans="1:16">
      <c r="A7" s="78" t="s">
        <v>11</v>
      </c>
      <c r="B7" s="86">
        <v>1830</v>
      </c>
      <c r="C7" s="79">
        <v>1700</v>
      </c>
      <c r="D7" s="79">
        <v>1800</v>
      </c>
      <c r="E7" s="79">
        <v>2130</v>
      </c>
      <c r="F7" s="79">
        <v>2130</v>
      </c>
      <c r="G7" s="79">
        <v>1420</v>
      </c>
      <c r="H7" s="79">
        <v>2800</v>
      </c>
      <c r="I7" s="79">
        <v>2100</v>
      </c>
      <c r="J7" s="79">
        <v>2800</v>
      </c>
      <c r="K7" s="79">
        <f>VLOOKUP(A7,집배구수!$A$5:$G$42,6,FALSE)</f>
        <v>69</v>
      </c>
      <c r="L7" s="81">
        <f t="shared" ref="L7:L43" si="2">K7*15</f>
        <v>1035</v>
      </c>
      <c r="M7" s="81">
        <f t="shared" ref="M7:M30" si="3">K7*15</f>
        <v>1035</v>
      </c>
      <c r="N7" s="81"/>
      <c r="O7" s="81">
        <f t="shared" ref="O7:O43" si="4">ROUNDDOWN(L7+M7+N7,-2)</f>
        <v>2000</v>
      </c>
      <c r="P7" s="26" t="s">
        <v>213</v>
      </c>
    </row>
    <row r="8" spans="1:16">
      <c r="A8" s="78" t="s">
        <v>33</v>
      </c>
      <c r="B8" s="86">
        <v>1930</v>
      </c>
      <c r="C8" s="79">
        <v>1800</v>
      </c>
      <c r="D8" s="79">
        <v>1880</v>
      </c>
      <c r="E8" s="79">
        <v>2250</v>
      </c>
      <c r="F8" s="79">
        <v>2240</v>
      </c>
      <c r="G8" s="79">
        <v>1480</v>
      </c>
      <c r="H8" s="79">
        <v>2880</v>
      </c>
      <c r="I8" s="79">
        <v>2100</v>
      </c>
      <c r="J8" s="79">
        <v>2760</v>
      </c>
      <c r="K8" s="79">
        <f>VLOOKUP(A8,집배구수!$A$5:$G$42,6,FALSE)</f>
        <v>71</v>
      </c>
      <c r="L8" s="81">
        <f t="shared" si="2"/>
        <v>1065</v>
      </c>
      <c r="M8" s="81">
        <f t="shared" si="3"/>
        <v>1065</v>
      </c>
      <c r="N8" s="81"/>
      <c r="O8" s="81">
        <f t="shared" si="4"/>
        <v>2100</v>
      </c>
      <c r="P8" s="26" t="s">
        <v>108</v>
      </c>
    </row>
    <row r="9" spans="1:16">
      <c r="A9" s="78" t="s">
        <v>28</v>
      </c>
      <c r="B9" s="86">
        <v>3300</v>
      </c>
      <c r="C9" s="79">
        <v>3000</v>
      </c>
      <c r="D9" s="79">
        <v>3100</v>
      </c>
      <c r="E9" s="79">
        <v>3700</v>
      </c>
      <c r="F9" s="79">
        <v>3750</v>
      </c>
      <c r="G9" s="79">
        <v>2540</v>
      </c>
      <c r="H9" s="79">
        <v>4680</v>
      </c>
      <c r="I9" s="79">
        <v>3510</v>
      </c>
      <c r="J9" s="79">
        <v>5480</v>
      </c>
      <c r="K9" s="79">
        <f>VLOOKUP(A9,집배구수!$A$5:$G$42,6,FALSE)</f>
        <v>117</v>
      </c>
      <c r="L9" s="81">
        <f t="shared" si="2"/>
        <v>1755</v>
      </c>
      <c r="M9" s="81">
        <f t="shared" si="3"/>
        <v>1755</v>
      </c>
      <c r="N9" s="81"/>
      <c r="O9" s="81">
        <f t="shared" si="4"/>
        <v>3500</v>
      </c>
      <c r="P9" s="145"/>
    </row>
    <row r="10" spans="1:16">
      <c r="A10" s="78" t="s">
        <v>59</v>
      </c>
      <c r="B10" s="86">
        <v>1900</v>
      </c>
      <c r="C10" s="79">
        <v>1700</v>
      </c>
      <c r="D10" s="79">
        <v>1910</v>
      </c>
      <c r="E10" s="79">
        <v>2220</v>
      </c>
      <c r="F10" s="79">
        <v>2280</v>
      </c>
      <c r="G10" s="79">
        <v>1500</v>
      </c>
      <c r="H10" s="79">
        <v>2880</v>
      </c>
      <c r="I10" s="79">
        <v>2160</v>
      </c>
      <c r="J10" s="79">
        <v>2880</v>
      </c>
      <c r="K10" s="79">
        <f>VLOOKUP(A10,집배구수!$A$5:$G$42,6,FALSE)</f>
        <v>71</v>
      </c>
      <c r="L10" s="81">
        <f t="shared" si="2"/>
        <v>1065</v>
      </c>
      <c r="M10" s="81">
        <f t="shared" si="3"/>
        <v>1065</v>
      </c>
      <c r="N10" s="81"/>
      <c r="O10" s="81">
        <f t="shared" si="4"/>
        <v>2100</v>
      </c>
      <c r="P10" s="26" t="s">
        <v>138</v>
      </c>
    </row>
    <row r="11" spans="1:16">
      <c r="A11" s="78" t="s">
        <v>57</v>
      </c>
      <c r="B11" s="86">
        <v>1850</v>
      </c>
      <c r="C11" s="79">
        <v>1700</v>
      </c>
      <c r="D11" s="79">
        <v>1780</v>
      </c>
      <c r="E11" s="79">
        <v>2120</v>
      </c>
      <c r="F11" s="79">
        <v>2220</v>
      </c>
      <c r="G11" s="79">
        <v>1500</v>
      </c>
      <c r="H11" s="79">
        <v>2800</v>
      </c>
      <c r="I11" s="79">
        <v>2100</v>
      </c>
      <c r="J11" s="79">
        <v>2800</v>
      </c>
      <c r="K11" s="79">
        <f>VLOOKUP(A11,집배구수!$A$5:$G$42,6,FALSE)</f>
        <v>70</v>
      </c>
      <c r="L11" s="81">
        <f t="shared" si="2"/>
        <v>1050</v>
      </c>
      <c r="M11" s="81">
        <f t="shared" si="3"/>
        <v>1050</v>
      </c>
      <c r="N11" s="81"/>
      <c r="O11" s="81">
        <f t="shared" si="4"/>
        <v>2100</v>
      </c>
      <c r="P11" s="26" t="s">
        <v>156</v>
      </c>
    </row>
    <row r="12" spans="1:16">
      <c r="A12" s="78" t="s">
        <v>53</v>
      </c>
      <c r="B12" s="86">
        <v>2380</v>
      </c>
      <c r="C12" s="79">
        <v>2200</v>
      </c>
      <c r="D12" s="79">
        <v>2180</v>
      </c>
      <c r="E12" s="79">
        <v>2600</v>
      </c>
      <c r="F12" s="79">
        <v>5760</v>
      </c>
      <c r="G12" s="79">
        <v>1840</v>
      </c>
      <c r="H12" s="79">
        <v>3280</v>
      </c>
      <c r="I12" s="79">
        <v>2460</v>
      </c>
      <c r="J12" s="79">
        <v>3280</v>
      </c>
      <c r="K12" s="79">
        <f>VLOOKUP(A12,집배구수!$A$5:$G$42,6,FALSE)</f>
        <v>82</v>
      </c>
      <c r="L12" s="81">
        <f t="shared" si="2"/>
        <v>1230</v>
      </c>
      <c r="M12" s="81">
        <f t="shared" si="3"/>
        <v>1230</v>
      </c>
      <c r="N12" s="81"/>
      <c r="O12" s="81">
        <f t="shared" si="4"/>
        <v>2400</v>
      </c>
      <c r="P12" s="145"/>
    </row>
    <row r="13" spans="1:16">
      <c r="A13" s="78" t="s">
        <v>7</v>
      </c>
      <c r="B13" s="86">
        <v>3080</v>
      </c>
      <c r="C13" s="79">
        <v>2800</v>
      </c>
      <c r="D13" s="79">
        <v>2920</v>
      </c>
      <c r="E13" s="79">
        <v>3510</v>
      </c>
      <c r="F13" s="79">
        <v>3710</v>
      </c>
      <c r="G13" s="79"/>
      <c r="H13" s="79">
        <v>4440</v>
      </c>
      <c r="I13" s="79">
        <v>3300</v>
      </c>
      <c r="J13" s="79">
        <v>4440</v>
      </c>
      <c r="K13" s="79">
        <f>VLOOKUP(A13,집배구수!$A$5:$G$42,6,FALSE)</f>
        <v>112</v>
      </c>
      <c r="L13" s="81">
        <f t="shared" si="2"/>
        <v>1680</v>
      </c>
      <c r="M13" s="81">
        <f t="shared" si="3"/>
        <v>1680</v>
      </c>
      <c r="N13" s="81"/>
      <c r="O13" s="81">
        <f t="shared" si="4"/>
        <v>3300</v>
      </c>
      <c r="P13" s="26" t="s">
        <v>155</v>
      </c>
    </row>
    <row r="14" spans="1:16">
      <c r="A14" s="78" t="s">
        <v>25</v>
      </c>
      <c r="B14" s="86">
        <v>1780</v>
      </c>
      <c r="C14" s="79">
        <v>1600</v>
      </c>
      <c r="D14" s="79">
        <v>1640</v>
      </c>
      <c r="E14" s="79">
        <v>1940</v>
      </c>
      <c r="F14" s="79">
        <v>2130</v>
      </c>
      <c r="G14" s="79">
        <v>1420</v>
      </c>
      <c r="H14" s="79">
        <v>2400</v>
      </c>
      <c r="I14" s="79">
        <v>1800</v>
      </c>
      <c r="J14" s="79">
        <v>2400</v>
      </c>
      <c r="K14" s="79">
        <f>VLOOKUP(A14,집배구수!$A$5:$G$42,6,FALSE)</f>
        <v>60</v>
      </c>
      <c r="L14" s="81">
        <f t="shared" si="2"/>
        <v>900</v>
      </c>
      <c r="M14" s="81">
        <f t="shared" si="3"/>
        <v>900</v>
      </c>
      <c r="N14" s="81"/>
      <c r="O14" s="81">
        <f t="shared" si="4"/>
        <v>1800</v>
      </c>
      <c r="P14" s="26"/>
    </row>
    <row r="15" spans="1:16">
      <c r="A15" s="78" t="s">
        <v>60</v>
      </c>
      <c r="B15" s="86">
        <v>1730</v>
      </c>
      <c r="C15" s="79">
        <v>1600</v>
      </c>
      <c r="D15" s="79">
        <v>1590</v>
      </c>
      <c r="E15" s="79">
        <v>1890</v>
      </c>
      <c r="F15" s="79">
        <v>1980</v>
      </c>
      <c r="G15" s="79">
        <v>1300</v>
      </c>
      <c r="H15" s="79">
        <v>2360</v>
      </c>
      <c r="I15" s="79">
        <v>1680</v>
      </c>
      <c r="J15" s="79">
        <v>2240</v>
      </c>
      <c r="K15" s="79">
        <f>VLOOKUP(A15,집배구수!$A$5:$G$42,6,FALSE)</f>
        <v>56</v>
      </c>
      <c r="L15" s="81">
        <f t="shared" si="2"/>
        <v>840</v>
      </c>
      <c r="M15" s="81">
        <f t="shared" si="3"/>
        <v>840</v>
      </c>
      <c r="N15" s="81"/>
      <c r="O15" s="81">
        <f t="shared" si="4"/>
        <v>1600</v>
      </c>
      <c r="P15" s="26"/>
    </row>
    <row r="16" spans="1:16">
      <c r="A16" s="78" t="s">
        <v>15</v>
      </c>
      <c r="B16" s="86">
        <v>1150</v>
      </c>
      <c r="C16" s="79">
        <v>1100</v>
      </c>
      <c r="D16" s="79">
        <v>1050</v>
      </c>
      <c r="E16" s="79">
        <v>1380</v>
      </c>
      <c r="F16" s="79">
        <v>1350</v>
      </c>
      <c r="G16" s="79">
        <v>900</v>
      </c>
      <c r="H16" s="79">
        <v>1760</v>
      </c>
      <c r="I16" s="79">
        <v>1320</v>
      </c>
      <c r="J16" s="79">
        <v>1720</v>
      </c>
      <c r="K16" s="79">
        <f>VLOOKUP(A16,집배구수!$A$5:$G$42,6,FALSE)</f>
        <v>43</v>
      </c>
      <c r="L16" s="81">
        <f t="shared" si="2"/>
        <v>645</v>
      </c>
      <c r="M16" s="81">
        <f t="shared" si="3"/>
        <v>645</v>
      </c>
      <c r="N16" s="81"/>
      <c r="O16" s="81">
        <f t="shared" si="4"/>
        <v>1200</v>
      </c>
      <c r="P16" s="26"/>
    </row>
    <row r="17" spans="1:16">
      <c r="A17" s="78" t="s">
        <v>61</v>
      </c>
      <c r="B17" s="86">
        <v>1030</v>
      </c>
      <c r="C17" s="79">
        <v>900</v>
      </c>
      <c r="D17" s="79">
        <v>930</v>
      </c>
      <c r="E17" s="79">
        <v>1110</v>
      </c>
      <c r="F17" s="79">
        <v>1170</v>
      </c>
      <c r="G17" s="79">
        <v>780</v>
      </c>
      <c r="H17" s="79">
        <v>1440</v>
      </c>
      <c r="I17" s="79">
        <v>1080</v>
      </c>
      <c r="J17" s="79">
        <v>1940</v>
      </c>
      <c r="K17" s="79">
        <f>VLOOKUP(A17,집배구수!$A$5:$G$42,6,FALSE)</f>
        <v>36</v>
      </c>
      <c r="L17" s="81">
        <f t="shared" si="2"/>
        <v>540</v>
      </c>
      <c r="M17" s="81">
        <f t="shared" si="3"/>
        <v>540</v>
      </c>
      <c r="N17" s="81"/>
      <c r="O17" s="81">
        <f t="shared" si="4"/>
        <v>1000</v>
      </c>
      <c r="P17" s="26"/>
    </row>
    <row r="18" spans="1:16">
      <c r="A18" s="78" t="s">
        <v>6</v>
      </c>
      <c r="B18" s="86">
        <v>3530</v>
      </c>
      <c r="C18" s="79">
        <v>3200</v>
      </c>
      <c r="D18" s="79">
        <v>3400</v>
      </c>
      <c r="E18" s="79">
        <v>4100</v>
      </c>
      <c r="F18" s="79">
        <v>4350</v>
      </c>
      <c r="G18" s="79">
        <v>2920</v>
      </c>
      <c r="H18" s="79">
        <v>5280</v>
      </c>
      <c r="I18" s="79">
        <v>3960</v>
      </c>
      <c r="J18" s="79">
        <v>5400</v>
      </c>
      <c r="K18" s="79">
        <f>VLOOKUP(A18,집배구수!$A$5:$G$42,6,FALSE)</f>
        <v>138</v>
      </c>
      <c r="L18" s="81">
        <f t="shared" si="2"/>
        <v>2070</v>
      </c>
      <c r="M18" s="81">
        <f t="shared" si="3"/>
        <v>2070</v>
      </c>
      <c r="N18" s="81"/>
      <c r="O18" s="81">
        <f t="shared" si="4"/>
        <v>4100</v>
      </c>
      <c r="P18" s="26"/>
    </row>
    <row r="19" spans="1:16">
      <c r="A19" s="78" t="s">
        <v>39</v>
      </c>
      <c r="B19" s="86">
        <v>3630</v>
      </c>
      <c r="C19" s="79">
        <v>3300</v>
      </c>
      <c r="D19" s="79">
        <v>3350</v>
      </c>
      <c r="E19" s="79">
        <v>4020</v>
      </c>
      <c r="F19" s="79">
        <v>4240</v>
      </c>
      <c r="G19" s="79">
        <v>2820</v>
      </c>
      <c r="H19" s="79">
        <v>5280</v>
      </c>
      <c r="I19" s="79">
        <v>3750</v>
      </c>
      <c r="J19" s="79">
        <v>5040</v>
      </c>
      <c r="K19" s="79">
        <f>VLOOKUP(A19,집배구수!$A$5:$G$42,6,FALSE)</f>
        <v>127</v>
      </c>
      <c r="L19" s="81">
        <f t="shared" si="2"/>
        <v>1905</v>
      </c>
      <c r="M19" s="81">
        <f t="shared" si="3"/>
        <v>1905</v>
      </c>
      <c r="N19" s="81"/>
      <c r="O19" s="81">
        <f t="shared" si="4"/>
        <v>3800</v>
      </c>
      <c r="P19" s="26"/>
    </row>
    <row r="20" spans="1:16">
      <c r="A20" s="78" t="s">
        <v>29</v>
      </c>
      <c r="B20" s="86">
        <v>1530</v>
      </c>
      <c r="C20" s="79">
        <v>1400</v>
      </c>
      <c r="D20" s="79">
        <v>1390</v>
      </c>
      <c r="E20" s="79">
        <v>1650</v>
      </c>
      <c r="F20" s="79">
        <v>1790</v>
      </c>
      <c r="G20" s="79">
        <v>1200</v>
      </c>
      <c r="H20" s="79">
        <v>2120</v>
      </c>
      <c r="I20" s="79">
        <v>1530</v>
      </c>
      <c r="J20" s="79">
        <v>2040</v>
      </c>
      <c r="K20" s="79">
        <f>VLOOKUP(A20,집배구수!$A$5:$G$42,6,FALSE)</f>
        <v>51</v>
      </c>
      <c r="L20" s="81">
        <f t="shared" si="2"/>
        <v>765</v>
      </c>
      <c r="M20" s="81">
        <f t="shared" si="3"/>
        <v>765</v>
      </c>
      <c r="N20" s="81"/>
      <c r="O20" s="81">
        <f t="shared" si="4"/>
        <v>1500</v>
      </c>
      <c r="P20" s="26"/>
    </row>
    <row r="21" spans="1:16">
      <c r="A21" s="78" t="s">
        <v>37</v>
      </c>
      <c r="B21" s="86">
        <v>2980</v>
      </c>
      <c r="C21" s="79">
        <v>2700</v>
      </c>
      <c r="D21" s="79">
        <v>2950</v>
      </c>
      <c r="E21" s="79">
        <v>3540</v>
      </c>
      <c r="F21" s="79">
        <v>3480</v>
      </c>
      <c r="G21" s="79">
        <v>2360</v>
      </c>
      <c r="H21" s="79">
        <v>4600</v>
      </c>
      <c r="I21" s="79">
        <v>3420</v>
      </c>
      <c r="J21" s="79">
        <v>4520</v>
      </c>
      <c r="K21" s="79">
        <f>VLOOKUP(A21,집배구수!$A$5:$G$42,6,FALSE)</f>
        <v>113</v>
      </c>
      <c r="L21" s="81">
        <f t="shared" si="2"/>
        <v>1695</v>
      </c>
      <c r="M21" s="81">
        <f t="shared" si="3"/>
        <v>1695</v>
      </c>
      <c r="N21" s="81"/>
      <c r="O21" s="81">
        <f t="shared" si="4"/>
        <v>3300</v>
      </c>
      <c r="P21" s="26"/>
    </row>
    <row r="22" spans="1:16">
      <c r="A22" s="78" t="s">
        <v>2</v>
      </c>
      <c r="B22" s="86">
        <v>1280</v>
      </c>
      <c r="C22" s="79">
        <v>1200</v>
      </c>
      <c r="D22" s="79">
        <v>1250</v>
      </c>
      <c r="E22" s="79">
        <v>1500</v>
      </c>
      <c r="F22" s="79">
        <v>1520</v>
      </c>
      <c r="G22" s="79">
        <v>1040</v>
      </c>
      <c r="H22" s="79">
        <v>1960</v>
      </c>
      <c r="I22" s="79">
        <v>1380</v>
      </c>
      <c r="J22" s="79">
        <v>1880</v>
      </c>
      <c r="K22" s="79">
        <f>VLOOKUP(A22,집배구수!$A$5:$G$42,6,FALSE)</f>
        <v>48</v>
      </c>
      <c r="L22" s="81">
        <f t="shared" si="2"/>
        <v>720</v>
      </c>
      <c r="M22" s="81">
        <f t="shared" si="3"/>
        <v>720</v>
      </c>
      <c r="N22" s="81"/>
      <c r="O22" s="81">
        <f t="shared" si="4"/>
        <v>1400</v>
      </c>
      <c r="P22" s="26"/>
    </row>
    <row r="23" spans="1:16">
      <c r="A23" s="78" t="s">
        <v>3</v>
      </c>
      <c r="B23" s="86">
        <v>4030</v>
      </c>
      <c r="C23" s="79">
        <v>3700</v>
      </c>
      <c r="D23" s="79">
        <v>3800</v>
      </c>
      <c r="E23" s="79">
        <v>4530</v>
      </c>
      <c r="F23" s="79">
        <v>4440</v>
      </c>
      <c r="G23" s="79">
        <v>2980</v>
      </c>
      <c r="H23" s="79">
        <v>5520</v>
      </c>
      <c r="I23" s="79">
        <v>4110</v>
      </c>
      <c r="J23" s="79">
        <v>5520</v>
      </c>
      <c r="K23" s="79">
        <f>VLOOKUP(A23,집배구수!$A$5:$G$42,6,FALSE)</f>
        <v>138</v>
      </c>
      <c r="L23" s="81">
        <f t="shared" si="2"/>
        <v>2070</v>
      </c>
      <c r="M23" s="81">
        <f t="shared" si="3"/>
        <v>2070</v>
      </c>
      <c r="N23" s="81"/>
      <c r="O23" s="81">
        <f t="shared" si="4"/>
        <v>4100</v>
      </c>
      <c r="P23" s="26"/>
    </row>
    <row r="24" spans="1:16">
      <c r="A24" s="78" t="s">
        <v>5</v>
      </c>
      <c r="B24" s="86">
        <v>3980</v>
      </c>
      <c r="C24" s="79">
        <v>3700</v>
      </c>
      <c r="D24" s="79">
        <v>3640</v>
      </c>
      <c r="E24" s="79">
        <v>4650</v>
      </c>
      <c r="F24" s="79">
        <v>4820</v>
      </c>
      <c r="G24" s="79">
        <v>3200</v>
      </c>
      <c r="H24" s="79">
        <v>5680</v>
      </c>
      <c r="I24" s="79">
        <v>4020</v>
      </c>
      <c r="J24" s="79">
        <v>5400</v>
      </c>
      <c r="K24" s="79">
        <f>VLOOKUP(A24,집배구수!$A$5:$G$42,6,FALSE)</f>
        <v>136</v>
      </c>
      <c r="L24" s="81">
        <f t="shared" si="2"/>
        <v>2040</v>
      </c>
      <c r="M24" s="81">
        <f t="shared" si="3"/>
        <v>2040</v>
      </c>
      <c r="N24" s="81"/>
      <c r="O24" s="81">
        <f t="shared" si="4"/>
        <v>4000</v>
      </c>
      <c r="P24" s="26"/>
    </row>
    <row r="25" spans="1:16">
      <c r="A25" s="78" t="s">
        <v>23</v>
      </c>
      <c r="B25" s="86">
        <v>2100</v>
      </c>
      <c r="C25" s="79">
        <v>1900</v>
      </c>
      <c r="D25" s="79">
        <v>2180</v>
      </c>
      <c r="E25" s="79">
        <v>2570</v>
      </c>
      <c r="F25" s="79">
        <v>2480</v>
      </c>
      <c r="G25" s="79">
        <v>1620</v>
      </c>
      <c r="H25" s="79">
        <v>3320</v>
      </c>
      <c r="I25" s="79">
        <v>2280</v>
      </c>
      <c r="J25" s="79">
        <v>3160</v>
      </c>
      <c r="K25" s="79">
        <f>VLOOKUP(A25,집배구수!$A$5:$G$42,6,FALSE)</f>
        <v>82</v>
      </c>
      <c r="L25" s="81">
        <f t="shared" si="2"/>
        <v>1230</v>
      </c>
      <c r="M25" s="81">
        <f t="shared" si="3"/>
        <v>1230</v>
      </c>
      <c r="N25" s="81"/>
      <c r="O25" s="81">
        <f>ROUNDDOWN(L25+M25+N25,-2)+1000</f>
        <v>3400</v>
      </c>
      <c r="P25" s="26"/>
    </row>
    <row r="26" spans="1:16">
      <c r="A26" s="78" t="s">
        <v>40</v>
      </c>
      <c r="B26" s="86">
        <v>1830</v>
      </c>
      <c r="C26" s="79">
        <v>1600</v>
      </c>
      <c r="D26" s="79">
        <v>1850</v>
      </c>
      <c r="E26" s="79">
        <v>2220</v>
      </c>
      <c r="F26" s="79">
        <v>2250</v>
      </c>
      <c r="G26" s="79">
        <v>1520</v>
      </c>
      <c r="H26" s="79">
        <v>3160</v>
      </c>
      <c r="I26" s="79">
        <v>2310</v>
      </c>
      <c r="J26" s="79">
        <v>3080</v>
      </c>
      <c r="K26" s="79">
        <f>VLOOKUP(A26,집배구수!$A$5:$G$42,6,FALSE)</f>
        <v>78</v>
      </c>
      <c r="L26" s="81">
        <f t="shared" si="2"/>
        <v>1170</v>
      </c>
      <c r="M26" s="81">
        <f t="shared" si="3"/>
        <v>1170</v>
      </c>
      <c r="N26" s="81"/>
      <c r="O26" s="81">
        <f t="shared" si="4"/>
        <v>2300</v>
      </c>
      <c r="P26" s="26"/>
    </row>
    <row r="27" spans="1:16">
      <c r="A27" s="78" t="s">
        <v>31</v>
      </c>
      <c r="B27" s="86">
        <v>1580</v>
      </c>
      <c r="C27" s="79">
        <v>1300</v>
      </c>
      <c r="D27" s="79">
        <v>1890</v>
      </c>
      <c r="E27" s="79">
        <v>1860</v>
      </c>
      <c r="F27" s="79">
        <v>1840</v>
      </c>
      <c r="G27" s="79">
        <v>1220</v>
      </c>
      <c r="H27" s="79">
        <v>2480</v>
      </c>
      <c r="I27" s="79">
        <v>1860</v>
      </c>
      <c r="J27" s="79">
        <v>2480</v>
      </c>
      <c r="K27" s="79">
        <f>VLOOKUP(A27,집배구수!$A$5:$G$42,6,FALSE)</f>
        <v>62</v>
      </c>
      <c r="L27" s="81">
        <f t="shared" si="2"/>
        <v>930</v>
      </c>
      <c r="M27" s="81">
        <f t="shared" si="3"/>
        <v>930</v>
      </c>
      <c r="N27" s="81"/>
      <c r="O27" s="81">
        <f t="shared" si="4"/>
        <v>1800</v>
      </c>
      <c r="P27" s="26"/>
    </row>
    <row r="28" spans="1:16">
      <c r="A28" s="78" t="s">
        <v>64</v>
      </c>
      <c r="B28" s="86">
        <v>930</v>
      </c>
      <c r="C28" s="79">
        <v>800</v>
      </c>
      <c r="D28" s="79">
        <v>980</v>
      </c>
      <c r="E28" s="79">
        <v>1200</v>
      </c>
      <c r="F28" s="79">
        <v>1320</v>
      </c>
      <c r="G28" s="79">
        <v>920</v>
      </c>
      <c r="H28" s="79">
        <v>1880</v>
      </c>
      <c r="I28" s="79">
        <v>1440</v>
      </c>
      <c r="J28" s="79">
        <v>1960</v>
      </c>
      <c r="K28" s="79">
        <f>VLOOKUP(A28,집배구수!$A$5:$G$42,6,FALSE)</f>
        <v>50</v>
      </c>
      <c r="L28" s="81">
        <f t="shared" si="2"/>
        <v>750</v>
      </c>
      <c r="M28" s="81">
        <f t="shared" si="3"/>
        <v>750</v>
      </c>
      <c r="N28" s="81"/>
      <c r="O28" s="81">
        <f t="shared" si="4"/>
        <v>1500</v>
      </c>
      <c r="P28" s="26"/>
    </row>
    <row r="29" spans="1:16">
      <c r="A29" s="78" t="s">
        <v>8</v>
      </c>
      <c r="B29" s="86">
        <v>850</v>
      </c>
      <c r="C29" s="79">
        <v>800</v>
      </c>
      <c r="D29" s="79">
        <v>850</v>
      </c>
      <c r="E29" s="79">
        <v>1110</v>
      </c>
      <c r="F29" s="79">
        <v>1200</v>
      </c>
      <c r="G29" s="79">
        <v>820</v>
      </c>
      <c r="H29" s="79">
        <v>1720</v>
      </c>
      <c r="I29" s="79">
        <v>1230</v>
      </c>
      <c r="J29" s="79">
        <v>2180</v>
      </c>
      <c r="K29" s="79">
        <f>VLOOKUP(A29,집배구수!$A$5:$G$42,6,FALSE)</f>
        <v>45</v>
      </c>
      <c r="L29" s="81">
        <f t="shared" si="2"/>
        <v>675</v>
      </c>
      <c r="M29" s="81">
        <f t="shared" si="3"/>
        <v>675</v>
      </c>
      <c r="N29" s="81"/>
      <c r="O29" s="81">
        <f t="shared" si="4"/>
        <v>1300</v>
      </c>
      <c r="P29" s="26"/>
    </row>
    <row r="30" spans="1:16">
      <c r="A30" s="78" t="s">
        <v>13</v>
      </c>
      <c r="B30" s="86">
        <v>1180</v>
      </c>
      <c r="C30" s="79">
        <v>1000</v>
      </c>
      <c r="D30" s="79">
        <v>1170</v>
      </c>
      <c r="E30" s="79">
        <v>1390</v>
      </c>
      <c r="F30" s="79">
        <v>1420</v>
      </c>
      <c r="G30" s="79">
        <v>940</v>
      </c>
      <c r="H30" s="79">
        <v>1680</v>
      </c>
      <c r="I30" s="79">
        <v>1260</v>
      </c>
      <c r="J30" s="79">
        <v>1680</v>
      </c>
      <c r="K30" s="79">
        <f>VLOOKUP(A30,집배구수!$A$5:$G$42,6,FALSE)</f>
        <v>43</v>
      </c>
      <c r="L30" s="81">
        <f t="shared" si="2"/>
        <v>645</v>
      </c>
      <c r="M30" s="81">
        <f t="shared" si="3"/>
        <v>645</v>
      </c>
      <c r="N30" s="81"/>
      <c r="O30" s="81">
        <f t="shared" si="4"/>
        <v>1200</v>
      </c>
      <c r="P30" s="26"/>
    </row>
    <row r="31" spans="1:16">
      <c r="A31" s="78" t="s">
        <v>4</v>
      </c>
      <c r="B31" s="86">
        <v>600</v>
      </c>
      <c r="C31" s="79">
        <v>800</v>
      </c>
      <c r="D31" s="79">
        <v>600</v>
      </c>
      <c r="E31" s="79">
        <v>570</v>
      </c>
      <c r="F31" s="79">
        <v>560</v>
      </c>
      <c r="G31" s="79">
        <v>190</v>
      </c>
      <c r="H31" s="79">
        <v>930</v>
      </c>
      <c r="I31" s="79">
        <v>930</v>
      </c>
      <c r="J31" s="79">
        <v>1300</v>
      </c>
      <c r="K31" s="79">
        <f>VLOOKUP(A31,집배구수!$A$5:$G$42,6,FALSE)</f>
        <v>37</v>
      </c>
      <c r="L31" s="81">
        <f t="shared" si="2"/>
        <v>555</v>
      </c>
      <c r="M31" s="81">
        <f>K31*10</f>
        <v>370</v>
      </c>
      <c r="N31" s="81"/>
      <c r="O31" s="81">
        <f t="shared" si="4"/>
        <v>900</v>
      </c>
      <c r="P31" s="26"/>
    </row>
    <row r="32" spans="1:16">
      <c r="A32" s="78" t="s">
        <v>36</v>
      </c>
      <c r="B32" s="86">
        <v>560</v>
      </c>
      <c r="C32" s="79">
        <v>800</v>
      </c>
      <c r="D32" s="79">
        <v>510</v>
      </c>
      <c r="E32" s="79">
        <v>530</v>
      </c>
      <c r="F32" s="79">
        <v>530</v>
      </c>
      <c r="G32" s="79">
        <v>180</v>
      </c>
      <c r="H32" s="79">
        <v>880</v>
      </c>
      <c r="I32" s="79">
        <v>880</v>
      </c>
      <c r="J32" s="79">
        <v>1230</v>
      </c>
      <c r="K32" s="79">
        <f>VLOOKUP(A32,집배구수!$A$5:$G$42,6,FALSE)</f>
        <v>35</v>
      </c>
      <c r="L32" s="81">
        <f t="shared" si="2"/>
        <v>525</v>
      </c>
      <c r="M32" s="81">
        <f t="shared" ref="M32:M33" si="5">K32*10</f>
        <v>350</v>
      </c>
      <c r="N32" s="81"/>
      <c r="O32" s="81">
        <f t="shared" si="4"/>
        <v>800</v>
      </c>
      <c r="P32" s="26"/>
    </row>
    <row r="33" spans="1:16">
      <c r="A33" s="78" t="s">
        <v>18</v>
      </c>
      <c r="B33" s="86">
        <v>480</v>
      </c>
      <c r="C33" s="79">
        <v>700</v>
      </c>
      <c r="D33" s="79">
        <v>480</v>
      </c>
      <c r="E33" s="79">
        <v>470</v>
      </c>
      <c r="F33" s="79">
        <v>470</v>
      </c>
      <c r="G33" s="79">
        <v>160</v>
      </c>
      <c r="H33" s="79">
        <v>750</v>
      </c>
      <c r="I33" s="79">
        <v>750</v>
      </c>
      <c r="J33" s="79">
        <v>1050</v>
      </c>
      <c r="K33" s="79">
        <f>VLOOKUP(A33,집배구수!$A$5:$G$42,6,FALSE)</f>
        <v>30</v>
      </c>
      <c r="L33" s="81">
        <f t="shared" si="2"/>
        <v>450</v>
      </c>
      <c r="M33" s="81">
        <f t="shared" si="5"/>
        <v>300</v>
      </c>
      <c r="N33" s="81"/>
      <c r="O33" s="81">
        <f t="shared" si="4"/>
        <v>700</v>
      </c>
      <c r="P33" s="26"/>
    </row>
    <row r="34" spans="1:16">
      <c r="A34" s="78" t="s">
        <v>50</v>
      </c>
      <c r="B34" s="86">
        <v>1580</v>
      </c>
      <c r="C34" s="79">
        <v>1500</v>
      </c>
      <c r="D34" s="79">
        <v>1830</v>
      </c>
      <c r="E34" s="79">
        <v>1830</v>
      </c>
      <c r="F34" s="79">
        <v>1830</v>
      </c>
      <c r="G34" s="79">
        <v>1220</v>
      </c>
      <c r="H34" s="79">
        <v>2320</v>
      </c>
      <c r="I34" s="79">
        <v>1740</v>
      </c>
      <c r="J34" s="79">
        <v>2280</v>
      </c>
      <c r="K34" s="79">
        <f>VLOOKUP(A34,집배구수!$A$5:$G$42,6,FALSE)</f>
        <v>56</v>
      </c>
      <c r="L34" s="81">
        <f t="shared" si="2"/>
        <v>840</v>
      </c>
      <c r="M34" s="81">
        <f t="shared" ref="M34:M36" si="6">K34*15</f>
        <v>840</v>
      </c>
      <c r="N34" s="81"/>
      <c r="O34" s="81">
        <f t="shared" si="4"/>
        <v>1600</v>
      </c>
      <c r="P34" s="26"/>
    </row>
    <row r="35" spans="1:16">
      <c r="A35" s="78" t="s">
        <v>24</v>
      </c>
      <c r="B35" s="86">
        <v>1350</v>
      </c>
      <c r="C35" s="79">
        <v>1100</v>
      </c>
      <c r="D35" s="79">
        <v>1590</v>
      </c>
      <c r="E35" s="79">
        <v>1560</v>
      </c>
      <c r="F35" s="79">
        <v>1560</v>
      </c>
      <c r="G35" s="79">
        <v>1040</v>
      </c>
      <c r="H35" s="79">
        <v>2080</v>
      </c>
      <c r="I35" s="79">
        <v>1560</v>
      </c>
      <c r="J35" s="79">
        <v>2080</v>
      </c>
      <c r="K35" s="79">
        <f>VLOOKUP(A35,집배구수!$A$5:$G$42,6,FALSE)</f>
        <v>52</v>
      </c>
      <c r="L35" s="81">
        <f t="shared" si="2"/>
        <v>780</v>
      </c>
      <c r="M35" s="81">
        <f t="shared" si="6"/>
        <v>780</v>
      </c>
      <c r="N35" s="81"/>
      <c r="O35" s="81">
        <f t="shared" si="4"/>
        <v>1500</v>
      </c>
      <c r="P35" s="26"/>
    </row>
    <row r="36" spans="1:16">
      <c r="A36" s="78" t="s">
        <v>21</v>
      </c>
      <c r="B36" s="86">
        <v>1300</v>
      </c>
      <c r="C36" s="79">
        <v>1000</v>
      </c>
      <c r="D36" s="79">
        <v>780</v>
      </c>
      <c r="E36" s="79">
        <v>800</v>
      </c>
      <c r="F36" s="79">
        <v>760</v>
      </c>
      <c r="G36" s="79">
        <v>250</v>
      </c>
      <c r="H36" s="79">
        <v>1250</v>
      </c>
      <c r="I36" s="79">
        <v>1470</v>
      </c>
      <c r="J36" s="79">
        <v>1960</v>
      </c>
      <c r="K36" s="79">
        <f>VLOOKUP(A36,집배구수!$A$5:$G$42,6,FALSE)</f>
        <v>49</v>
      </c>
      <c r="L36" s="81">
        <f t="shared" si="2"/>
        <v>735</v>
      </c>
      <c r="M36" s="81">
        <f t="shared" si="6"/>
        <v>735</v>
      </c>
      <c r="N36" s="81"/>
      <c r="O36" s="81">
        <f t="shared" si="4"/>
        <v>1400</v>
      </c>
      <c r="P36" s="26"/>
    </row>
    <row r="37" spans="1:16">
      <c r="A37" s="78" t="s">
        <v>1</v>
      </c>
      <c r="B37" s="86">
        <v>450</v>
      </c>
      <c r="C37" s="79">
        <v>600</v>
      </c>
      <c r="D37" s="79">
        <v>440</v>
      </c>
      <c r="E37" s="79">
        <v>440</v>
      </c>
      <c r="F37" s="79">
        <v>420</v>
      </c>
      <c r="G37" s="79">
        <v>140</v>
      </c>
      <c r="H37" s="79">
        <v>700</v>
      </c>
      <c r="I37" s="79">
        <v>700</v>
      </c>
      <c r="J37" s="79">
        <v>1080</v>
      </c>
      <c r="K37" s="79">
        <f>VLOOKUP(A37,집배구수!$A$5:$G$42,6,FALSE)</f>
        <v>27</v>
      </c>
      <c r="L37" s="81">
        <f t="shared" si="2"/>
        <v>405</v>
      </c>
      <c r="M37" s="81">
        <f t="shared" ref="M37" si="7">K37*15</f>
        <v>405</v>
      </c>
      <c r="N37" s="81"/>
      <c r="O37" s="81">
        <f t="shared" si="4"/>
        <v>800</v>
      </c>
      <c r="P37" s="26"/>
    </row>
    <row r="38" spans="1:16">
      <c r="A38" s="78" t="s">
        <v>26</v>
      </c>
      <c r="B38" s="86">
        <v>380</v>
      </c>
      <c r="C38" s="79">
        <v>500</v>
      </c>
      <c r="D38" s="79">
        <v>350</v>
      </c>
      <c r="E38" s="79">
        <v>350</v>
      </c>
      <c r="F38" s="79">
        <v>320</v>
      </c>
      <c r="G38" s="79">
        <v>110</v>
      </c>
      <c r="H38" s="79">
        <v>530</v>
      </c>
      <c r="I38" s="79">
        <v>530</v>
      </c>
      <c r="J38" s="79">
        <v>740</v>
      </c>
      <c r="K38" s="79">
        <f>VLOOKUP(A38,집배구수!$A$5:$G$42,6,FALSE)</f>
        <v>21</v>
      </c>
      <c r="L38" s="81">
        <f t="shared" si="2"/>
        <v>315</v>
      </c>
      <c r="M38" s="81">
        <f t="shared" ref="M38:M43" si="8">K38*10</f>
        <v>210</v>
      </c>
      <c r="N38" s="81"/>
      <c r="O38" s="81">
        <f t="shared" si="4"/>
        <v>500</v>
      </c>
      <c r="P38" s="26"/>
    </row>
    <row r="39" spans="1:16">
      <c r="A39" s="78" t="s">
        <v>16</v>
      </c>
      <c r="B39" s="86">
        <v>530</v>
      </c>
      <c r="C39" s="79">
        <v>700</v>
      </c>
      <c r="D39" s="79">
        <v>500</v>
      </c>
      <c r="E39" s="79">
        <v>500</v>
      </c>
      <c r="F39" s="79">
        <v>500</v>
      </c>
      <c r="G39" s="79">
        <v>170</v>
      </c>
      <c r="H39" s="79">
        <v>800</v>
      </c>
      <c r="I39" s="79">
        <v>800</v>
      </c>
      <c r="J39" s="79">
        <v>1120</v>
      </c>
      <c r="K39" s="79">
        <f>VLOOKUP(A39,집배구수!$A$5:$G$42,6,FALSE)</f>
        <v>32</v>
      </c>
      <c r="L39" s="81">
        <f t="shared" si="2"/>
        <v>480</v>
      </c>
      <c r="M39" s="81">
        <f t="shared" si="8"/>
        <v>320</v>
      </c>
      <c r="N39" s="81"/>
      <c r="O39" s="81">
        <f t="shared" si="4"/>
        <v>800</v>
      </c>
      <c r="P39" s="26"/>
    </row>
    <row r="40" spans="1:16">
      <c r="A40" s="78" t="s">
        <v>27</v>
      </c>
      <c r="B40" s="86">
        <v>600</v>
      </c>
      <c r="C40" s="79">
        <v>800</v>
      </c>
      <c r="D40" s="79">
        <v>590</v>
      </c>
      <c r="E40" s="79">
        <v>560</v>
      </c>
      <c r="F40" s="79">
        <v>560</v>
      </c>
      <c r="G40" s="79">
        <v>190</v>
      </c>
      <c r="H40" s="79">
        <v>930</v>
      </c>
      <c r="I40" s="79">
        <v>930</v>
      </c>
      <c r="J40" s="79">
        <v>1300</v>
      </c>
      <c r="K40" s="79">
        <f>VLOOKUP(A40,집배구수!$A$5:$G$42,6,FALSE)</f>
        <v>37</v>
      </c>
      <c r="L40" s="81">
        <f t="shared" si="2"/>
        <v>555</v>
      </c>
      <c r="M40" s="81">
        <f t="shared" si="8"/>
        <v>370</v>
      </c>
      <c r="N40" s="81"/>
      <c r="O40" s="81">
        <f t="shared" si="4"/>
        <v>900</v>
      </c>
      <c r="P40" s="26"/>
    </row>
    <row r="41" spans="1:16">
      <c r="A41" s="78" t="s">
        <v>10</v>
      </c>
      <c r="B41" s="86">
        <v>480</v>
      </c>
      <c r="C41" s="79">
        <v>700</v>
      </c>
      <c r="D41" s="79">
        <v>470</v>
      </c>
      <c r="E41" s="79">
        <v>480</v>
      </c>
      <c r="F41" s="79">
        <v>480</v>
      </c>
      <c r="G41" s="79">
        <v>160</v>
      </c>
      <c r="H41" s="79">
        <v>800</v>
      </c>
      <c r="I41" s="79">
        <v>800</v>
      </c>
      <c r="J41" s="79">
        <v>1160</v>
      </c>
      <c r="K41" s="79">
        <f>VLOOKUP(A41,집배구수!$A$5:$G$42,6,FALSE)</f>
        <v>33</v>
      </c>
      <c r="L41" s="81">
        <f t="shared" si="2"/>
        <v>495</v>
      </c>
      <c r="M41" s="81">
        <f t="shared" si="8"/>
        <v>330</v>
      </c>
      <c r="N41" s="81"/>
      <c r="O41" s="81">
        <f t="shared" si="4"/>
        <v>800</v>
      </c>
      <c r="P41" s="26"/>
    </row>
    <row r="42" spans="1:16">
      <c r="A42" s="78" t="s">
        <v>17</v>
      </c>
      <c r="B42" s="86">
        <v>480</v>
      </c>
      <c r="C42" s="79">
        <v>600</v>
      </c>
      <c r="D42" s="79">
        <v>480</v>
      </c>
      <c r="E42" s="79">
        <v>470</v>
      </c>
      <c r="F42" s="79">
        <v>420</v>
      </c>
      <c r="G42" s="79">
        <v>140</v>
      </c>
      <c r="H42" s="79">
        <v>700</v>
      </c>
      <c r="I42" s="79">
        <v>700</v>
      </c>
      <c r="J42" s="79">
        <v>950</v>
      </c>
      <c r="K42" s="79">
        <f>VLOOKUP(A42,집배구수!$A$5:$G$42,6,FALSE)</f>
        <v>27</v>
      </c>
      <c r="L42" s="81">
        <f t="shared" si="2"/>
        <v>405</v>
      </c>
      <c r="M42" s="81">
        <f t="shared" si="8"/>
        <v>270</v>
      </c>
      <c r="N42" s="81"/>
      <c r="O42" s="81">
        <f t="shared" si="4"/>
        <v>600</v>
      </c>
      <c r="P42" s="26"/>
    </row>
    <row r="43" spans="1:16">
      <c r="A43" s="78" t="s">
        <v>38</v>
      </c>
      <c r="B43" s="86">
        <v>630</v>
      </c>
      <c r="C43" s="79">
        <v>900</v>
      </c>
      <c r="D43" s="79">
        <v>560</v>
      </c>
      <c r="E43" s="79">
        <v>590</v>
      </c>
      <c r="F43" s="79">
        <v>570</v>
      </c>
      <c r="G43" s="79">
        <v>200</v>
      </c>
      <c r="H43" s="79">
        <v>980</v>
      </c>
      <c r="I43" s="79">
        <v>980</v>
      </c>
      <c r="J43" s="79">
        <v>1370</v>
      </c>
      <c r="K43" s="79">
        <f>VLOOKUP(A43,집배구수!$A$5:$G$42,6,FALSE)</f>
        <v>39</v>
      </c>
      <c r="L43" s="81">
        <f t="shared" si="2"/>
        <v>585</v>
      </c>
      <c r="M43" s="81">
        <f t="shared" si="8"/>
        <v>390</v>
      </c>
      <c r="N43" s="81"/>
      <c r="O43" s="81">
        <f t="shared" si="4"/>
        <v>900</v>
      </c>
      <c r="P43" s="26"/>
    </row>
    <row r="44" spans="1:16">
      <c r="A44" s="78" t="s">
        <v>86</v>
      </c>
      <c r="B44" s="86">
        <v>20800</v>
      </c>
      <c r="C44" s="79">
        <v>13400</v>
      </c>
      <c r="D44" s="79">
        <v>20800</v>
      </c>
      <c r="E44" s="79">
        <v>21020</v>
      </c>
      <c r="F44" s="79">
        <v>22180</v>
      </c>
      <c r="G44" s="79">
        <v>16225</v>
      </c>
      <c r="H44" s="79">
        <v>21780</v>
      </c>
      <c r="I44" s="79">
        <v>5820</v>
      </c>
      <c r="J44" s="79">
        <v>21900</v>
      </c>
      <c r="K44" s="81">
        <f>'집중국 인원'!E5</f>
        <v>272</v>
      </c>
      <c r="L44" s="81">
        <v>7000</v>
      </c>
      <c r="M44" s="81"/>
      <c r="N44" s="81">
        <f>K44*25</f>
        <v>6800</v>
      </c>
      <c r="O44" s="81">
        <f>ROUNDDOWN(SUM(L44:N44),-2)</f>
        <v>13800</v>
      </c>
      <c r="P44" s="26"/>
    </row>
    <row r="45" spans="1:16">
      <c r="A45" s="78" t="s">
        <v>87</v>
      </c>
      <c r="B45" s="86">
        <v>10200</v>
      </c>
      <c r="C45" s="79">
        <v>6700</v>
      </c>
      <c r="D45" s="79">
        <v>10200</v>
      </c>
      <c r="E45" s="79">
        <v>10640</v>
      </c>
      <c r="F45" s="79">
        <v>11440</v>
      </c>
      <c r="G45" s="79">
        <v>6105</v>
      </c>
      <c r="H45" s="79">
        <v>7830</v>
      </c>
      <c r="I45" s="79">
        <v>2280</v>
      </c>
      <c r="J45" s="79">
        <v>8800</v>
      </c>
      <c r="K45" s="81">
        <f>'집중국 인원'!E6</f>
        <v>115</v>
      </c>
      <c r="L45" s="81">
        <v>3000</v>
      </c>
      <c r="M45" s="81">
        <v>1650</v>
      </c>
      <c r="N45" s="81">
        <f t="shared" ref="N45:N47" si="9">K45*25</f>
        <v>2875</v>
      </c>
      <c r="O45" s="81">
        <f t="shared" ref="O45:O47" si="10">ROUNDDOWN(SUM(L45:N45),-2)</f>
        <v>7500</v>
      </c>
      <c r="P45" s="26"/>
    </row>
    <row r="46" spans="1:16">
      <c r="A46" s="78" t="s">
        <v>88</v>
      </c>
      <c r="B46" s="86">
        <v>8760</v>
      </c>
      <c r="C46" s="79">
        <v>5800</v>
      </c>
      <c r="D46" s="79">
        <v>8760</v>
      </c>
      <c r="E46" s="79">
        <v>9000</v>
      </c>
      <c r="F46" s="79">
        <v>9400</v>
      </c>
      <c r="G46" s="79">
        <v>4070</v>
      </c>
      <c r="H46" s="79">
        <v>7030</v>
      </c>
      <c r="I46" s="79">
        <v>1500</v>
      </c>
      <c r="J46" s="79">
        <v>9850</v>
      </c>
      <c r="K46" s="81">
        <f>'집중국 인원'!E7</f>
        <v>74</v>
      </c>
      <c r="L46" s="81">
        <v>3000</v>
      </c>
      <c r="M46" s="81"/>
      <c r="N46" s="81">
        <f t="shared" si="9"/>
        <v>1850</v>
      </c>
      <c r="O46" s="81">
        <f t="shared" si="10"/>
        <v>4800</v>
      </c>
      <c r="P46" s="26"/>
    </row>
    <row r="47" spans="1:16">
      <c r="A47" s="82" t="s">
        <v>89</v>
      </c>
      <c r="B47" s="87">
        <v>9480</v>
      </c>
      <c r="C47" s="83">
        <v>5600</v>
      </c>
      <c r="D47" s="83">
        <v>9480</v>
      </c>
      <c r="E47" s="83">
        <v>10640</v>
      </c>
      <c r="F47" s="83">
        <v>11300</v>
      </c>
      <c r="G47" s="83">
        <v>6270</v>
      </c>
      <c r="H47" s="83">
        <v>7430</v>
      </c>
      <c r="I47" s="83">
        <v>2160</v>
      </c>
      <c r="J47" s="83">
        <v>8700</v>
      </c>
      <c r="K47" s="84">
        <f>'집중국 인원'!E8</f>
        <v>107</v>
      </c>
      <c r="L47" s="84">
        <v>3000</v>
      </c>
      <c r="M47" s="84"/>
      <c r="N47" s="84">
        <f t="shared" si="9"/>
        <v>2675</v>
      </c>
      <c r="O47" s="84">
        <f t="shared" si="10"/>
        <v>5600</v>
      </c>
      <c r="P47" s="28"/>
    </row>
    <row r="48" spans="1:16">
      <c r="A48" s="8">
        <v>1</v>
      </c>
      <c r="B48" s="8">
        <v>2</v>
      </c>
      <c r="C48" s="8">
        <v>3</v>
      </c>
      <c r="D48" s="8">
        <v>4</v>
      </c>
      <c r="E48" s="8">
        <v>5</v>
      </c>
      <c r="F48" s="8">
        <v>6</v>
      </c>
      <c r="G48" s="8">
        <v>7</v>
      </c>
      <c r="H48" s="8">
        <v>8</v>
      </c>
      <c r="I48" s="8">
        <v>9</v>
      </c>
      <c r="J48" s="8">
        <v>10</v>
      </c>
      <c r="K48" s="8">
        <v>11</v>
      </c>
      <c r="L48" s="8">
        <v>12</v>
      </c>
      <c r="M48" s="8">
        <v>13</v>
      </c>
      <c r="N48" s="8">
        <v>14</v>
      </c>
      <c r="O48" s="8">
        <v>15</v>
      </c>
      <c r="P48" s="8"/>
    </row>
  </sheetData>
  <mergeCells count="6">
    <mergeCell ref="P3:P4"/>
    <mergeCell ref="A1:P1"/>
    <mergeCell ref="A3:A4"/>
    <mergeCell ref="K3:K4"/>
    <mergeCell ref="L3:O3"/>
    <mergeCell ref="B3:J3"/>
  </mergeCells>
  <phoneticPr fontId="5" type="noConversion"/>
  <printOptions horizontalCentered="1"/>
  <pageMargins left="0.43307086614173229" right="0.19685039370078741" top="0.31496062992125984" bottom="0.19685039370078741" header="0.19685039370078741" footer="0.15748031496062992"/>
  <pageSetup paperSize="9" scale="7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7" tint="-0.249977111117893"/>
    <pageSetUpPr fitToPage="1"/>
  </sheetPr>
  <dimension ref="A1:O48"/>
  <sheetViews>
    <sheetView topLeftCell="K1" workbookViewId="0">
      <selection activeCell="O17" sqref="O17"/>
    </sheetView>
  </sheetViews>
  <sheetFormatPr defaultRowHeight="13.5"/>
  <cols>
    <col min="1" max="1" width="9.77734375" style="5" customWidth="1"/>
    <col min="2" max="14" width="8.77734375" style="5" customWidth="1"/>
    <col min="15" max="15" width="38.21875" style="5" bestFit="1" customWidth="1"/>
    <col min="16" max="16384" width="8.88671875" style="5"/>
  </cols>
  <sheetData>
    <row r="1" spans="1:15" ht="32.1" customHeight="1">
      <c r="A1" s="257" t="s">
        <v>44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</row>
    <row r="2" spans="1:15" ht="1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" t="s">
        <v>80</v>
      </c>
    </row>
    <row r="3" spans="1:15">
      <c r="A3" s="258" t="s">
        <v>12</v>
      </c>
      <c r="B3" s="260" t="s">
        <v>69</v>
      </c>
      <c r="C3" s="261"/>
      <c r="D3" s="261"/>
      <c r="E3" s="261"/>
      <c r="F3" s="261"/>
      <c r="G3" s="261"/>
      <c r="H3" s="261"/>
      <c r="I3" s="261"/>
      <c r="J3" s="262"/>
      <c r="K3" s="259" t="s">
        <v>109</v>
      </c>
      <c r="L3" s="259"/>
      <c r="M3" s="259"/>
      <c r="N3" s="259" t="s">
        <v>110</v>
      </c>
      <c r="O3" s="258" t="s">
        <v>65</v>
      </c>
    </row>
    <row r="4" spans="1:15">
      <c r="A4" s="258"/>
      <c r="B4" s="24" t="s">
        <v>35</v>
      </c>
      <c r="C4" s="7" t="s">
        <v>56</v>
      </c>
      <c r="D4" s="7" t="s">
        <v>111</v>
      </c>
      <c r="E4" s="7" t="s">
        <v>112</v>
      </c>
      <c r="F4" s="7" t="s">
        <v>113</v>
      </c>
      <c r="G4" s="7" t="s">
        <v>114</v>
      </c>
      <c r="H4" s="7" t="s">
        <v>107</v>
      </c>
      <c r="I4" s="41" t="s">
        <v>145</v>
      </c>
      <c r="J4" s="146" t="s">
        <v>192</v>
      </c>
      <c r="K4" s="7" t="s">
        <v>51</v>
      </c>
      <c r="L4" s="7" t="s">
        <v>52</v>
      </c>
      <c r="M4" s="7" t="s">
        <v>22</v>
      </c>
      <c r="N4" s="259"/>
      <c r="O4" s="258"/>
    </row>
    <row r="5" spans="1:15">
      <c r="A5" s="22" t="s">
        <v>193</v>
      </c>
      <c r="B5" s="25">
        <f t="shared" ref="B5:M5" si="0">SUM(B6:B47)</f>
        <v>80040</v>
      </c>
      <c r="C5" s="25">
        <f t="shared" si="0"/>
        <v>57700</v>
      </c>
      <c r="D5" s="25">
        <f t="shared" si="0"/>
        <v>74760</v>
      </c>
      <c r="E5" s="25">
        <f t="shared" si="0"/>
        <v>87220</v>
      </c>
      <c r="F5" s="25">
        <f t="shared" si="0"/>
        <v>85380</v>
      </c>
      <c r="G5" s="25">
        <f t="shared" si="0"/>
        <v>81548</v>
      </c>
      <c r="H5" s="25">
        <f t="shared" si="0"/>
        <v>96919</v>
      </c>
      <c r="I5" s="25">
        <f t="shared" si="0"/>
        <v>85760</v>
      </c>
      <c r="J5" s="25">
        <f t="shared" si="0"/>
        <v>111630</v>
      </c>
      <c r="K5" s="25">
        <f t="shared" si="0"/>
        <v>3510</v>
      </c>
      <c r="L5" s="25">
        <f t="shared" si="0"/>
        <v>231</v>
      </c>
      <c r="M5" s="25">
        <f t="shared" si="0"/>
        <v>3741</v>
      </c>
      <c r="N5" s="25">
        <f>SUM(N6:N47)</f>
        <v>103950</v>
      </c>
      <c r="O5" s="23"/>
    </row>
    <row r="6" spans="1:15">
      <c r="A6" s="73" t="s">
        <v>19</v>
      </c>
      <c r="B6" s="85">
        <v>2440</v>
      </c>
      <c r="C6" s="74">
        <v>1600</v>
      </c>
      <c r="D6" s="74">
        <v>2220</v>
      </c>
      <c r="E6" s="74">
        <v>2240</v>
      </c>
      <c r="F6" s="74">
        <v>2200</v>
      </c>
      <c r="G6" s="74">
        <v>2420</v>
      </c>
      <c r="H6" s="74">
        <v>2783</v>
      </c>
      <c r="I6" s="74">
        <v>2390</v>
      </c>
      <c r="J6" s="74">
        <v>3270</v>
      </c>
      <c r="K6" s="74">
        <f>VLOOKUP(A6,집배구수!$A$5:$G$42,6,FALSE)</f>
        <v>103</v>
      </c>
      <c r="L6" s="74">
        <f>VLOOKUP(A6,집배구수!$A$5:$G$42,7,FALSE)</f>
        <v>6</v>
      </c>
      <c r="M6" s="74">
        <f>SUM(K6:L6)</f>
        <v>109</v>
      </c>
      <c r="N6" s="77">
        <f>ROUND(M6*6*4,-2)</f>
        <v>2600</v>
      </c>
      <c r="O6" s="144" t="s">
        <v>49</v>
      </c>
    </row>
    <row r="7" spans="1:15">
      <c r="A7" s="78" t="s">
        <v>11</v>
      </c>
      <c r="B7" s="86">
        <v>1640</v>
      </c>
      <c r="C7" s="79">
        <v>1200</v>
      </c>
      <c r="D7" s="79">
        <v>0</v>
      </c>
      <c r="E7" s="79">
        <v>1620</v>
      </c>
      <c r="F7" s="88">
        <v>1580</v>
      </c>
      <c r="G7" s="88">
        <v>1738</v>
      </c>
      <c r="H7" s="88">
        <v>1794</v>
      </c>
      <c r="I7" s="88">
        <v>1710</v>
      </c>
      <c r="J7" s="88">
        <v>2340</v>
      </c>
      <c r="K7" s="79">
        <f>VLOOKUP(A7,집배구수!$A$5:$G$42,6,FALSE)</f>
        <v>69</v>
      </c>
      <c r="L7" s="79">
        <f>VLOOKUP(A7,집배구수!$A$5:$G$42,7,FALSE)</f>
        <v>8</v>
      </c>
      <c r="M7" s="79">
        <f>SUM(K7:L7)</f>
        <v>77</v>
      </c>
      <c r="N7" s="81">
        <f t="shared" ref="N7:N43" si="1">ROUND(M7*6*4,-2)</f>
        <v>1800</v>
      </c>
      <c r="O7" s="26" t="s">
        <v>235</v>
      </c>
    </row>
    <row r="8" spans="1:15">
      <c r="A8" s="78" t="s">
        <v>33</v>
      </c>
      <c r="B8" s="86">
        <v>1700</v>
      </c>
      <c r="C8" s="79">
        <v>1200</v>
      </c>
      <c r="D8" s="79">
        <v>0</v>
      </c>
      <c r="E8" s="79">
        <v>1640</v>
      </c>
      <c r="F8" s="79">
        <v>1620</v>
      </c>
      <c r="G8" s="79">
        <v>1826</v>
      </c>
      <c r="H8" s="79">
        <v>1932</v>
      </c>
      <c r="I8" s="79">
        <v>1690</v>
      </c>
      <c r="J8" s="79">
        <v>2280</v>
      </c>
      <c r="K8" s="79">
        <f>VLOOKUP(A8,집배구수!$A$5:$G$42,6,FALSE)</f>
        <v>71</v>
      </c>
      <c r="L8" s="79">
        <f>VLOOKUP(A8,집배구수!$A$5:$G$42,7,FALSE)</f>
        <v>7</v>
      </c>
      <c r="M8" s="79">
        <f t="shared" ref="M8:M47" si="2">SUM(K8:L8)</f>
        <v>78</v>
      </c>
      <c r="N8" s="81">
        <f t="shared" si="1"/>
        <v>1900</v>
      </c>
      <c r="O8" s="26" t="s">
        <v>0</v>
      </c>
    </row>
    <row r="9" spans="1:15">
      <c r="A9" s="78" t="s">
        <v>28</v>
      </c>
      <c r="B9" s="86">
        <v>2820</v>
      </c>
      <c r="C9" s="79">
        <v>2000</v>
      </c>
      <c r="D9" s="79"/>
      <c r="E9" s="79">
        <v>2600</v>
      </c>
      <c r="F9" s="79">
        <v>2480</v>
      </c>
      <c r="G9" s="79">
        <v>2794</v>
      </c>
      <c r="H9" s="79">
        <v>3128</v>
      </c>
      <c r="I9" s="79">
        <v>2790</v>
      </c>
      <c r="J9" s="79">
        <v>3810</v>
      </c>
      <c r="K9" s="79">
        <f>VLOOKUP(A9,집배구수!$A$5:$G$42,6,FALSE)</f>
        <v>117</v>
      </c>
      <c r="L9" s="79">
        <f>VLOOKUP(A9,집배구수!$A$5:$G$42,7,FALSE)</f>
        <v>11</v>
      </c>
      <c r="M9" s="79">
        <f t="shared" si="2"/>
        <v>128</v>
      </c>
      <c r="N9" s="81">
        <f t="shared" si="1"/>
        <v>3100</v>
      </c>
      <c r="O9" s="145"/>
    </row>
    <row r="10" spans="1:15">
      <c r="A10" s="78" t="s">
        <v>59</v>
      </c>
      <c r="B10" s="86">
        <v>1640</v>
      </c>
      <c r="C10" s="79">
        <v>1200</v>
      </c>
      <c r="D10" s="79"/>
      <c r="E10" s="79">
        <v>1560</v>
      </c>
      <c r="F10" s="79">
        <v>1600</v>
      </c>
      <c r="G10" s="79">
        <v>1716</v>
      </c>
      <c r="H10" s="79">
        <v>1817</v>
      </c>
      <c r="I10" s="79">
        <v>1670</v>
      </c>
      <c r="J10" s="79">
        <v>2340</v>
      </c>
      <c r="K10" s="79">
        <f>VLOOKUP(A10,집배구수!$A$5:$G$42,6,FALSE)</f>
        <v>71</v>
      </c>
      <c r="L10" s="79">
        <f>VLOOKUP(A10,집배구수!$A$5:$G$42,7,FALSE)</f>
        <v>8</v>
      </c>
      <c r="M10" s="79">
        <f t="shared" si="2"/>
        <v>79</v>
      </c>
      <c r="N10" s="81">
        <f t="shared" si="1"/>
        <v>1900</v>
      </c>
      <c r="O10" s="26" t="s">
        <v>157</v>
      </c>
    </row>
    <row r="11" spans="1:15">
      <c r="A11" s="78" t="s">
        <v>57</v>
      </c>
      <c r="B11" s="86">
        <v>1640</v>
      </c>
      <c r="C11" s="79">
        <v>1100</v>
      </c>
      <c r="D11" s="79">
        <v>1540</v>
      </c>
      <c r="E11" s="79">
        <v>1520</v>
      </c>
      <c r="F11" s="79">
        <v>1500</v>
      </c>
      <c r="G11" s="79">
        <v>1672</v>
      </c>
      <c r="H11" s="79">
        <v>1863</v>
      </c>
      <c r="I11" s="79">
        <v>1690</v>
      </c>
      <c r="J11" s="79">
        <v>2280</v>
      </c>
      <c r="K11" s="79">
        <f>VLOOKUP(A11,집배구수!$A$5:$G$42,6,FALSE)</f>
        <v>70</v>
      </c>
      <c r="L11" s="79">
        <f>VLOOKUP(A11,집배구수!$A$5:$G$42,7,FALSE)</f>
        <v>6</v>
      </c>
      <c r="M11" s="79">
        <f t="shared" si="2"/>
        <v>76</v>
      </c>
      <c r="N11" s="81">
        <f t="shared" si="1"/>
        <v>1800</v>
      </c>
      <c r="O11" s="26" t="s">
        <v>71</v>
      </c>
    </row>
    <row r="12" spans="1:15">
      <c r="A12" s="78" t="s">
        <v>53</v>
      </c>
      <c r="B12" s="86">
        <v>2000</v>
      </c>
      <c r="C12" s="79">
        <v>1300</v>
      </c>
      <c r="D12" s="79">
        <v>1780</v>
      </c>
      <c r="E12" s="79">
        <v>1800</v>
      </c>
      <c r="F12" s="79">
        <v>1820</v>
      </c>
      <c r="G12" s="79">
        <v>1980</v>
      </c>
      <c r="H12" s="79">
        <v>2254</v>
      </c>
      <c r="I12" s="79">
        <v>1930</v>
      </c>
      <c r="J12" s="79">
        <v>2700</v>
      </c>
      <c r="K12" s="79">
        <f>VLOOKUP(A12,집배구수!$A$5:$G$42,6,FALSE)</f>
        <v>82</v>
      </c>
      <c r="L12" s="79">
        <f>VLOOKUP(A12,집배구수!$A$5:$G$42,7,FALSE)</f>
        <v>8</v>
      </c>
      <c r="M12" s="79">
        <f t="shared" si="2"/>
        <v>90</v>
      </c>
      <c r="N12" s="81">
        <f t="shared" si="1"/>
        <v>2200</v>
      </c>
      <c r="O12" s="26"/>
    </row>
    <row r="13" spans="1:15">
      <c r="A13" s="78" t="s">
        <v>7</v>
      </c>
      <c r="B13" s="86">
        <v>2620</v>
      </c>
      <c r="C13" s="79">
        <v>1700</v>
      </c>
      <c r="D13" s="79">
        <v>2400</v>
      </c>
      <c r="E13" s="79">
        <v>2440</v>
      </c>
      <c r="F13" s="79">
        <v>2400</v>
      </c>
      <c r="G13" s="79"/>
      <c r="H13" s="79">
        <v>3013</v>
      </c>
      <c r="I13" s="79">
        <v>2570</v>
      </c>
      <c r="J13" s="79">
        <v>3540</v>
      </c>
      <c r="K13" s="79">
        <f>VLOOKUP(A13,집배구수!$A$5:$G$42,6,FALSE)</f>
        <v>112</v>
      </c>
      <c r="L13" s="79">
        <f>VLOOKUP(A13,집배구수!$A$5:$G$42,7,FALSE)</f>
        <v>10</v>
      </c>
      <c r="M13" s="79">
        <f t="shared" si="2"/>
        <v>122</v>
      </c>
      <c r="N13" s="81">
        <f t="shared" si="1"/>
        <v>2900</v>
      </c>
      <c r="O13" s="26"/>
    </row>
    <row r="14" spans="1:15">
      <c r="A14" s="78" t="s">
        <v>25</v>
      </c>
      <c r="B14" s="86">
        <v>1540</v>
      </c>
      <c r="C14" s="79">
        <v>1000</v>
      </c>
      <c r="D14" s="79">
        <v>1340</v>
      </c>
      <c r="E14" s="79">
        <v>1320</v>
      </c>
      <c r="F14" s="79">
        <v>1300</v>
      </c>
      <c r="G14" s="79">
        <v>1430</v>
      </c>
      <c r="H14" s="79">
        <v>1748</v>
      </c>
      <c r="I14" s="79">
        <v>1430</v>
      </c>
      <c r="J14" s="79">
        <v>1950</v>
      </c>
      <c r="K14" s="79">
        <f>VLOOKUP(A14,집배구수!$A$5:$G$42,6,FALSE)</f>
        <v>60</v>
      </c>
      <c r="L14" s="79">
        <f>VLOOKUP(A14,집배구수!$A$5:$G$42,7,FALSE)</f>
        <v>5</v>
      </c>
      <c r="M14" s="79">
        <f t="shared" si="2"/>
        <v>65</v>
      </c>
      <c r="N14" s="81">
        <f t="shared" si="1"/>
        <v>1600</v>
      </c>
      <c r="O14" s="26"/>
    </row>
    <row r="15" spans="1:15">
      <c r="A15" s="78" t="s">
        <v>60</v>
      </c>
      <c r="B15" s="86">
        <v>1520</v>
      </c>
      <c r="C15" s="79">
        <v>1000</v>
      </c>
      <c r="D15" s="79">
        <v>1340</v>
      </c>
      <c r="E15" s="79">
        <v>1380</v>
      </c>
      <c r="F15" s="79">
        <v>1320</v>
      </c>
      <c r="G15" s="79">
        <v>1474</v>
      </c>
      <c r="H15" s="79">
        <v>1725</v>
      </c>
      <c r="I15" s="79">
        <v>1380</v>
      </c>
      <c r="J15" s="79">
        <v>1890</v>
      </c>
      <c r="K15" s="79">
        <f>VLOOKUP(A15,집배구수!$A$5:$G$42,6,FALSE)</f>
        <v>56</v>
      </c>
      <c r="L15" s="79">
        <f>VLOOKUP(A15,집배구수!$A$5:$G$42,7,FALSE)</f>
        <v>7</v>
      </c>
      <c r="M15" s="79">
        <f t="shared" si="2"/>
        <v>63</v>
      </c>
      <c r="N15" s="81">
        <f t="shared" si="1"/>
        <v>1500</v>
      </c>
      <c r="O15" s="26"/>
    </row>
    <row r="16" spans="1:15">
      <c r="A16" s="78" t="s">
        <v>15</v>
      </c>
      <c r="B16" s="86">
        <v>980</v>
      </c>
      <c r="C16" s="79">
        <v>700</v>
      </c>
      <c r="D16" s="79">
        <v>840</v>
      </c>
      <c r="E16" s="79">
        <v>1000</v>
      </c>
      <c r="F16" s="79">
        <v>980</v>
      </c>
      <c r="G16" s="79">
        <v>1078</v>
      </c>
      <c r="H16" s="79">
        <v>1104</v>
      </c>
      <c r="I16" s="79">
        <v>1050</v>
      </c>
      <c r="J16" s="79">
        <v>1380</v>
      </c>
      <c r="K16" s="79">
        <f>VLOOKUP(A16,집배구수!$A$5:$G$42,6,FALSE)</f>
        <v>43</v>
      </c>
      <c r="L16" s="79">
        <f>VLOOKUP(A16,집배구수!$A$5:$G$42,7,FALSE)</f>
        <v>3</v>
      </c>
      <c r="M16" s="79">
        <f t="shared" si="2"/>
        <v>46</v>
      </c>
      <c r="N16" s="81">
        <f t="shared" si="1"/>
        <v>1100</v>
      </c>
      <c r="O16" s="26"/>
    </row>
    <row r="17" spans="1:15">
      <c r="A17" s="78" t="s">
        <v>61</v>
      </c>
      <c r="B17" s="86">
        <v>880</v>
      </c>
      <c r="C17" s="79">
        <v>600</v>
      </c>
      <c r="D17" s="79">
        <v>780</v>
      </c>
      <c r="E17" s="79">
        <v>760</v>
      </c>
      <c r="F17" s="79">
        <v>760</v>
      </c>
      <c r="G17" s="79">
        <v>880</v>
      </c>
      <c r="H17" s="79">
        <v>966</v>
      </c>
      <c r="I17" s="79">
        <v>850</v>
      </c>
      <c r="J17" s="79">
        <v>1200</v>
      </c>
      <c r="K17" s="79">
        <f>VLOOKUP(A17,집배구수!$A$5:$G$42,6,FALSE)</f>
        <v>36</v>
      </c>
      <c r="L17" s="79">
        <f>VLOOKUP(A17,집배구수!$A$5:$G$42,7,FALSE)</f>
        <v>4</v>
      </c>
      <c r="M17" s="79">
        <f t="shared" si="2"/>
        <v>40</v>
      </c>
      <c r="N17" s="81">
        <f t="shared" si="1"/>
        <v>1000</v>
      </c>
      <c r="O17" s="26"/>
    </row>
    <row r="18" spans="1:15">
      <c r="A18" s="78" t="s">
        <v>6</v>
      </c>
      <c r="B18" s="86">
        <v>2980</v>
      </c>
      <c r="C18" s="79">
        <v>2000</v>
      </c>
      <c r="D18" s="79">
        <v>2760</v>
      </c>
      <c r="E18" s="79">
        <v>2820</v>
      </c>
      <c r="F18" s="79">
        <v>2820</v>
      </c>
      <c r="G18" s="79">
        <v>3234</v>
      </c>
      <c r="H18" s="79">
        <v>4680</v>
      </c>
      <c r="I18" s="79">
        <v>3120</v>
      </c>
      <c r="J18" s="79">
        <v>4350</v>
      </c>
      <c r="K18" s="79">
        <f>VLOOKUP(A18,집배구수!$A$5:$G$42,6,FALSE)</f>
        <v>138</v>
      </c>
      <c r="L18" s="79">
        <f>VLOOKUP(A18,집배구수!$A$5:$G$42,7,FALSE)</f>
        <v>10</v>
      </c>
      <c r="M18" s="79">
        <f t="shared" si="2"/>
        <v>148</v>
      </c>
      <c r="N18" s="81">
        <f t="shared" si="1"/>
        <v>3600</v>
      </c>
      <c r="O18" s="26"/>
    </row>
    <row r="19" spans="1:15">
      <c r="A19" s="78" t="s">
        <v>39</v>
      </c>
      <c r="B19" s="86">
        <v>3000</v>
      </c>
      <c r="C19" s="79">
        <v>1900</v>
      </c>
      <c r="D19" s="79">
        <v>2660</v>
      </c>
      <c r="E19" s="79">
        <v>2740</v>
      </c>
      <c r="F19" s="79">
        <v>2760</v>
      </c>
      <c r="G19" s="79">
        <v>3080</v>
      </c>
      <c r="H19" s="79">
        <v>3588</v>
      </c>
      <c r="I19" s="79">
        <v>2900</v>
      </c>
      <c r="J19" s="79">
        <v>4020</v>
      </c>
      <c r="K19" s="79">
        <f>VLOOKUP(A19,집배구수!$A$5:$G$42,6,FALSE)</f>
        <v>127</v>
      </c>
      <c r="L19" s="79">
        <f>VLOOKUP(A19,집배구수!$A$5:$G$42,7,FALSE)</f>
        <v>8</v>
      </c>
      <c r="M19" s="79">
        <f t="shared" si="2"/>
        <v>135</v>
      </c>
      <c r="N19" s="81">
        <f t="shared" si="1"/>
        <v>3200</v>
      </c>
      <c r="O19" s="26"/>
    </row>
    <row r="20" spans="1:15">
      <c r="A20" s="78" t="s">
        <v>29</v>
      </c>
      <c r="B20" s="86">
        <v>1300</v>
      </c>
      <c r="C20" s="79">
        <v>800</v>
      </c>
      <c r="D20" s="79">
        <v>1120</v>
      </c>
      <c r="E20" s="79">
        <v>1140</v>
      </c>
      <c r="F20" s="79">
        <v>1120</v>
      </c>
      <c r="G20" s="79">
        <v>1276</v>
      </c>
      <c r="H20" s="79">
        <v>1541</v>
      </c>
      <c r="I20" s="79">
        <v>1230</v>
      </c>
      <c r="J20" s="79">
        <v>1710</v>
      </c>
      <c r="K20" s="79">
        <f>VLOOKUP(A20,집배구수!$A$5:$G$42,6,FALSE)</f>
        <v>51</v>
      </c>
      <c r="L20" s="79">
        <f>VLOOKUP(A20,집배구수!$A$5:$G$42,7,FALSE)</f>
        <v>6</v>
      </c>
      <c r="M20" s="79">
        <f t="shared" si="2"/>
        <v>57</v>
      </c>
      <c r="N20" s="81">
        <f>ROUND(M20*6*4,-2)+250</f>
        <v>1650</v>
      </c>
      <c r="O20" s="26"/>
    </row>
    <row r="21" spans="1:15">
      <c r="A21" s="78" t="s">
        <v>37</v>
      </c>
      <c r="B21" s="86">
        <v>2560</v>
      </c>
      <c r="C21" s="79">
        <v>1800</v>
      </c>
      <c r="D21" s="79">
        <v>2540</v>
      </c>
      <c r="E21" s="79">
        <v>2540</v>
      </c>
      <c r="F21" s="79">
        <v>2460</v>
      </c>
      <c r="G21" s="79">
        <v>2750</v>
      </c>
      <c r="H21" s="79">
        <v>2990</v>
      </c>
      <c r="I21" s="79">
        <v>2770</v>
      </c>
      <c r="J21" s="79">
        <v>3720</v>
      </c>
      <c r="K21" s="79">
        <f>VLOOKUP(A21,집배구수!$A$5:$G$42,6,FALSE)</f>
        <v>113</v>
      </c>
      <c r="L21" s="79">
        <f>VLOOKUP(A21,집배구수!$A$5:$G$42,7,FALSE)</f>
        <v>11</v>
      </c>
      <c r="M21" s="79">
        <f t="shared" si="2"/>
        <v>124</v>
      </c>
      <c r="N21" s="81">
        <f t="shared" si="1"/>
        <v>3000</v>
      </c>
      <c r="O21" s="26"/>
    </row>
    <row r="22" spans="1:15">
      <c r="A22" s="78" t="s">
        <v>2</v>
      </c>
      <c r="B22" s="86">
        <v>1140</v>
      </c>
      <c r="C22" s="79">
        <v>700</v>
      </c>
      <c r="D22" s="79">
        <v>1080</v>
      </c>
      <c r="E22" s="79">
        <v>1120</v>
      </c>
      <c r="F22" s="79">
        <v>1140</v>
      </c>
      <c r="G22" s="79">
        <v>1254</v>
      </c>
      <c r="H22" s="79">
        <v>1449</v>
      </c>
      <c r="I22" s="79">
        <v>1180</v>
      </c>
      <c r="J22" s="79">
        <v>1650</v>
      </c>
      <c r="K22" s="79">
        <f>VLOOKUP(A22,집배구수!$A$5:$G$42,6,FALSE)</f>
        <v>48</v>
      </c>
      <c r="L22" s="79">
        <f>VLOOKUP(A22,집배구수!$A$5:$G$42,7,FALSE)</f>
        <v>8</v>
      </c>
      <c r="M22" s="79">
        <f t="shared" si="2"/>
        <v>56</v>
      </c>
      <c r="N22" s="81">
        <f t="shared" si="1"/>
        <v>1300</v>
      </c>
      <c r="O22" s="26"/>
    </row>
    <row r="23" spans="1:15">
      <c r="A23" s="78" t="s">
        <v>3</v>
      </c>
      <c r="B23" s="86">
        <v>3360</v>
      </c>
      <c r="C23" s="79">
        <v>2200</v>
      </c>
      <c r="D23" s="79">
        <v>3080</v>
      </c>
      <c r="E23" s="79">
        <v>3100</v>
      </c>
      <c r="F23" s="79">
        <v>2960</v>
      </c>
      <c r="G23" s="79">
        <v>3278</v>
      </c>
      <c r="H23" s="79">
        <v>3657</v>
      </c>
      <c r="I23" s="79">
        <v>3160</v>
      </c>
      <c r="J23" s="79">
        <v>4350</v>
      </c>
      <c r="K23" s="79">
        <f>VLOOKUP(A23,집배구수!$A$5:$G$42,6,FALSE)</f>
        <v>138</v>
      </c>
      <c r="L23" s="79">
        <f>VLOOKUP(A23,집배구수!$A$5:$G$42,7,FALSE)</f>
        <v>7</v>
      </c>
      <c r="M23" s="79">
        <f t="shared" si="2"/>
        <v>145</v>
      </c>
      <c r="N23" s="81">
        <f t="shared" si="1"/>
        <v>3500</v>
      </c>
      <c r="O23" s="26"/>
    </row>
    <row r="24" spans="1:15">
      <c r="A24" s="78" t="s">
        <v>5</v>
      </c>
      <c r="B24" s="86">
        <v>3440</v>
      </c>
      <c r="C24" s="79">
        <v>2000</v>
      </c>
      <c r="D24" s="79">
        <v>2960</v>
      </c>
      <c r="E24" s="79">
        <v>3320</v>
      </c>
      <c r="F24" s="79">
        <v>3100</v>
      </c>
      <c r="G24" s="79">
        <v>3454</v>
      </c>
      <c r="H24" s="79">
        <v>4209</v>
      </c>
      <c r="I24" s="79">
        <v>3270</v>
      </c>
      <c r="J24" s="79">
        <v>4530</v>
      </c>
      <c r="K24" s="79">
        <f>VLOOKUP(A24,집배구수!$A$5:$G$42,6,FALSE)</f>
        <v>136</v>
      </c>
      <c r="L24" s="79">
        <f>VLOOKUP(A24,집배구수!$A$5:$G$42,7,FALSE)</f>
        <v>16</v>
      </c>
      <c r="M24" s="79">
        <f t="shared" si="2"/>
        <v>152</v>
      </c>
      <c r="N24" s="81">
        <f t="shared" si="1"/>
        <v>3600</v>
      </c>
      <c r="O24" s="26"/>
    </row>
    <row r="25" spans="1:15">
      <c r="A25" s="78" t="s">
        <v>23</v>
      </c>
      <c r="B25" s="86">
        <v>1780</v>
      </c>
      <c r="C25" s="79">
        <v>1100</v>
      </c>
      <c r="D25" s="79">
        <v>1840</v>
      </c>
      <c r="E25" s="79">
        <v>1820</v>
      </c>
      <c r="F25" s="79">
        <v>1820</v>
      </c>
      <c r="G25" s="79">
        <v>2046</v>
      </c>
      <c r="H25" s="79">
        <v>2323</v>
      </c>
      <c r="I25" s="79">
        <v>1840</v>
      </c>
      <c r="J25" s="79">
        <v>2670</v>
      </c>
      <c r="K25" s="79">
        <f>VLOOKUP(A25,집배구수!$A$5:$G$42,6,FALSE)</f>
        <v>82</v>
      </c>
      <c r="L25" s="79">
        <f>VLOOKUP(A25,집배구수!$A$5:$G$42,7,FALSE)</f>
        <v>10</v>
      </c>
      <c r="M25" s="79">
        <f t="shared" si="2"/>
        <v>92</v>
      </c>
      <c r="N25" s="81">
        <f t="shared" si="1"/>
        <v>2200</v>
      </c>
      <c r="O25" s="26"/>
    </row>
    <row r="26" spans="1:15">
      <c r="A26" s="78" t="s">
        <v>40</v>
      </c>
      <c r="B26" s="86">
        <v>1560</v>
      </c>
      <c r="C26" s="79">
        <v>1100</v>
      </c>
      <c r="D26" s="79">
        <v>1580</v>
      </c>
      <c r="E26" s="79">
        <v>1580</v>
      </c>
      <c r="F26" s="79">
        <v>1640</v>
      </c>
      <c r="G26" s="79">
        <v>1848</v>
      </c>
      <c r="H26" s="79">
        <v>1978</v>
      </c>
      <c r="I26" s="79">
        <v>1840</v>
      </c>
      <c r="J26" s="79">
        <v>2550</v>
      </c>
      <c r="K26" s="79">
        <f>VLOOKUP(A26,집배구수!$A$5:$G$42,6,FALSE)</f>
        <v>78</v>
      </c>
      <c r="L26" s="79">
        <f>VLOOKUP(A26,집배구수!$A$5:$G$42,7,FALSE)</f>
        <v>8</v>
      </c>
      <c r="M26" s="79">
        <f t="shared" si="2"/>
        <v>86</v>
      </c>
      <c r="N26" s="81">
        <f t="shared" si="1"/>
        <v>2100</v>
      </c>
      <c r="O26" s="26"/>
    </row>
    <row r="27" spans="1:15">
      <c r="A27" s="78" t="s">
        <v>31</v>
      </c>
      <c r="B27" s="86">
        <v>1320</v>
      </c>
      <c r="C27" s="79">
        <v>700</v>
      </c>
      <c r="D27" s="79">
        <v>1320</v>
      </c>
      <c r="E27" s="79">
        <v>1320</v>
      </c>
      <c r="F27" s="79">
        <v>1300</v>
      </c>
      <c r="G27" s="79">
        <v>1430</v>
      </c>
      <c r="H27" s="79">
        <v>1495</v>
      </c>
      <c r="I27" s="79">
        <v>1430</v>
      </c>
      <c r="J27" s="79">
        <v>1950</v>
      </c>
      <c r="K27" s="79">
        <f>VLOOKUP(A27,집배구수!$A$5:$G$42,6,FALSE)</f>
        <v>62</v>
      </c>
      <c r="L27" s="79">
        <f>VLOOKUP(A27,집배구수!$A$5:$G$42,7,FALSE)</f>
        <v>3</v>
      </c>
      <c r="M27" s="79">
        <f t="shared" si="2"/>
        <v>65</v>
      </c>
      <c r="N27" s="81">
        <f t="shared" si="1"/>
        <v>1600</v>
      </c>
      <c r="O27" s="26"/>
    </row>
    <row r="28" spans="1:15">
      <c r="A28" s="78" t="s">
        <v>64</v>
      </c>
      <c r="B28" s="86">
        <v>780</v>
      </c>
      <c r="C28" s="79">
        <v>600</v>
      </c>
      <c r="D28" s="79">
        <v>820</v>
      </c>
      <c r="E28" s="79">
        <v>860</v>
      </c>
      <c r="F28" s="79">
        <v>940</v>
      </c>
      <c r="G28" s="79">
        <v>1122</v>
      </c>
      <c r="H28" s="79">
        <v>1219</v>
      </c>
      <c r="I28" s="79">
        <v>1120</v>
      </c>
      <c r="J28" s="79">
        <v>1590</v>
      </c>
      <c r="K28" s="79">
        <f>VLOOKUP(A28,집배구수!$A$5:$G$42,6,FALSE)</f>
        <v>50</v>
      </c>
      <c r="L28" s="79">
        <f>VLOOKUP(A28,집배구수!$A$5:$G$42,7,FALSE)</f>
        <v>4</v>
      </c>
      <c r="M28" s="79">
        <f t="shared" si="2"/>
        <v>54</v>
      </c>
      <c r="N28" s="81">
        <f t="shared" si="1"/>
        <v>1300</v>
      </c>
      <c r="O28" s="26"/>
    </row>
    <row r="29" spans="1:15">
      <c r="A29" s="78" t="s">
        <v>8</v>
      </c>
      <c r="B29" s="86">
        <v>780</v>
      </c>
      <c r="C29" s="79">
        <v>600</v>
      </c>
      <c r="D29" s="79">
        <v>780</v>
      </c>
      <c r="E29" s="79">
        <v>860</v>
      </c>
      <c r="F29" s="79">
        <v>980</v>
      </c>
      <c r="G29" s="79">
        <v>1100</v>
      </c>
      <c r="H29" s="79">
        <v>1150</v>
      </c>
      <c r="I29" s="79">
        <v>1030</v>
      </c>
      <c r="J29" s="79">
        <v>1440</v>
      </c>
      <c r="K29" s="79">
        <f>VLOOKUP(A29,집배구수!$A$5:$G$42,6,FALSE)</f>
        <v>45</v>
      </c>
      <c r="L29" s="79">
        <f>VLOOKUP(A29,집배구수!$A$5:$G$42,7,FALSE)</f>
        <v>6</v>
      </c>
      <c r="M29" s="79">
        <f t="shared" si="2"/>
        <v>51</v>
      </c>
      <c r="N29" s="81">
        <f t="shared" si="1"/>
        <v>1200</v>
      </c>
      <c r="O29" s="26"/>
    </row>
    <row r="30" spans="1:15">
      <c r="A30" s="78" t="s">
        <v>13</v>
      </c>
      <c r="B30" s="86">
        <v>1020</v>
      </c>
      <c r="C30" s="79">
        <v>700</v>
      </c>
      <c r="D30" s="79">
        <v>980</v>
      </c>
      <c r="E30" s="79">
        <v>1000</v>
      </c>
      <c r="F30" s="79">
        <v>1000</v>
      </c>
      <c r="G30" s="79">
        <v>1100</v>
      </c>
      <c r="H30" s="79">
        <v>1242</v>
      </c>
      <c r="I30" s="79">
        <v>1010</v>
      </c>
      <c r="J30" s="79">
        <v>1410</v>
      </c>
      <c r="K30" s="79">
        <f>VLOOKUP(A30,집배구수!$A$5:$G$42,6,FALSE)</f>
        <v>43</v>
      </c>
      <c r="L30" s="79">
        <f>VLOOKUP(A30,집배구수!$A$5:$G$42,7,FALSE)</f>
        <v>5</v>
      </c>
      <c r="M30" s="79">
        <f t="shared" si="2"/>
        <v>48</v>
      </c>
      <c r="N30" s="81">
        <f t="shared" si="1"/>
        <v>1200</v>
      </c>
      <c r="O30" s="26"/>
    </row>
    <row r="31" spans="1:15">
      <c r="A31" s="78" t="s">
        <v>4</v>
      </c>
      <c r="B31" s="86">
        <v>440</v>
      </c>
      <c r="C31" s="79">
        <v>500</v>
      </c>
      <c r="D31" s="79">
        <v>440</v>
      </c>
      <c r="E31" s="79">
        <v>410</v>
      </c>
      <c r="F31" s="79">
        <v>400</v>
      </c>
      <c r="G31" s="79">
        <v>480</v>
      </c>
      <c r="H31" s="79">
        <v>520</v>
      </c>
      <c r="I31" s="79">
        <v>480</v>
      </c>
      <c r="J31" s="79">
        <v>720</v>
      </c>
      <c r="K31" s="79">
        <f>VLOOKUP(A31,집배구수!$A$5:$G$42,6,FALSE)</f>
        <v>37</v>
      </c>
      <c r="L31" s="79">
        <f>VLOOKUP(A31,집배구수!$A$5:$G$42,7,FALSE)</f>
        <v>3</v>
      </c>
      <c r="M31" s="79">
        <f t="shared" si="2"/>
        <v>40</v>
      </c>
      <c r="N31" s="81">
        <f t="shared" si="1"/>
        <v>1000</v>
      </c>
      <c r="O31" s="26"/>
    </row>
    <row r="32" spans="1:15">
      <c r="A32" s="78" t="s">
        <v>36</v>
      </c>
      <c r="B32" s="86">
        <v>410</v>
      </c>
      <c r="C32" s="79">
        <v>500</v>
      </c>
      <c r="D32" s="79">
        <v>380</v>
      </c>
      <c r="E32" s="79">
        <v>390</v>
      </c>
      <c r="F32" s="79">
        <v>390</v>
      </c>
      <c r="G32" s="79">
        <v>480</v>
      </c>
      <c r="H32" s="79">
        <v>507</v>
      </c>
      <c r="I32" s="79">
        <v>460</v>
      </c>
      <c r="J32" s="79">
        <v>700</v>
      </c>
      <c r="K32" s="79">
        <f>VLOOKUP(A32,집배구수!$A$5:$G$42,6,FALSE)</f>
        <v>35</v>
      </c>
      <c r="L32" s="79">
        <f>VLOOKUP(A32,집배구수!$A$5:$G$42,7,FALSE)</f>
        <v>4</v>
      </c>
      <c r="M32" s="79">
        <f t="shared" si="2"/>
        <v>39</v>
      </c>
      <c r="N32" s="81">
        <f t="shared" si="1"/>
        <v>900</v>
      </c>
      <c r="O32" s="26"/>
    </row>
    <row r="33" spans="1:15">
      <c r="A33" s="78" t="s">
        <v>18</v>
      </c>
      <c r="B33" s="86">
        <v>350</v>
      </c>
      <c r="C33" s="79">
        <v>500</v>
      </c>
      <c r="D33" s="79">
        <v>350</v>
      </c>
      <c r="E33" s="79">
        <v>340</v>
      </c>
      <c r="F33" s="79">
        <v>340</v>
      </c>
      <c r="G33" s="79">
        <v>408</v>
      </c>
      <c r="H33" s="79">
        <v>429</v>
      </c>
      <c r="I33" s="79">
        <v>390</v>
      </c>
      <c r="J33" s="79">
        <v>590</v>
      </c>
      <c r="K33" s="79">
        <f>VLOOKUP(A33,집배구수!$A$5:$G$42,6,FALSE)</f>
        <v>30</v>
      </c>
      <c r="L33" s="79">
        <f>VLOOKUP(A33,집배구수!$A$5:$G$42,7,FALSE)</f>
        <v>3</v>
      </c>
      <c r="M33" s="79">
        <f t="shared" si="2"/>
        <v>33</v>
      </c>
      <c r="N33" s="81">
        <f t="shared" si="1"/>
        <v>800</v>
      </c>
      <c r="O33" s="26"/>
    </row>
    <row r="34" spans="1:15">
      <c r="A34" s="78" t="s">
        <v>50</v>
      </c>
      <c r="B34" s="86">
        <v>1340</v>
      </c>
      <c r="C34" s="79">
        <v>900</v>
      </c>
      <c r="D34" s="79">
        <v>1280</v>
      </c>
      <c r="E34" s="79">
        <v>1300</v>
      </c>
      <c r="F34" s="79">
        <v>1280</v>
      </c>
      <c r="G34" s="79">
        <v>1408</v>
      </c>
      <c r="H34" s="79">
        <v>1541</v>
      </c>
      <c r="I34" s="79">
        <v>1400</v>
      </c>
      <c r="J34" s="79">
        <v>1920</v>
      </c>
      <c r="K34" s="79">
        <f>VLOOKUP(A34,집배구수!$A$5:$G$42,6,FALSE)</f>
        <v>56</v>
      </c>
      <c r="L34" s="79">
        <f>VLOOKUP(A34,집배구수!$A$5:$G$42,7,FALSE)</f>
        <v>7</v>
      </c>
      <c r="M34" s="79">
        <f t="shared" si="2"/>
        <v>63</v>
      </c>
      <c r="N34" s="81">
        <f t="shared" si="1"/>
        <v>1500</v>
      </c>
      <c r="O34" s="26"/>
    </row>
    <row r="35" spans="1:15">
      <c r="A35" s="78" t="s">
        <v>24</v>
      </c>
      <c r="B35" s="86">
        <v>1160</v>
      </c>
      <c r="C35" s="79">
        <v>700</v>
      </c>
      <c r="D35" s="79">
        <v>1140</v>
      </c>
      <c r="E35" s="79">
        <v>1120</v>
      </c>
      <c r="F35" s="79">
        <v>1160</v>
      </c>
      <c r="G35" s="79">
        <v>1276</v>
      </c>
      <c r="H35" s="79">
        <v>1311</v>
      </c>
      <c r="I35" s="79">
        <v>1250</v>
      </c>
      <c r="J35" s="79">
        <v>1710</v>
      </c>
      <c r="K35" s="79">
        <f>VLOOKUP(A35,집배구수!$A$5:$G$42,6,FALSE)</f>
        <v>52</v>
      </c>
      <c r="L35" s="79">
        <f>VLOOKUP(A35,집배구수!$A$5:$G$42,7,FALSE)</f>
        <v>5</v>
      </c>
      <c r="M35" s="79">
        <f t="shared" si="2"/>
        <v>57</v>
      </c>
      <c r="N35" s="81">
        <f t="shared" si="1"/>
        <v>1400</v>
      </c>
      <c r="O35" s="26"/>
    </row>
    <row r="36" spans="1:15">
      <c r="A36" s="78" t="s">
        <v>21</v>
      </c>
      <c r="B36" s="86">
        <v>1140</v>
      </c>
      <c r="C36" s="79">
        <v>600</v>
      </c>
      <c r="D36" s="79">
        <v>570</v>
      </c>
      <c r="E36" s="79">
        <v>570</v>
      </c>
      <c r="F36" s="79">
        <v>550</v>
      </c>
      <c r="G36" s="79">
        <v>660</v>
      </c>
      <c r="H36" s="79">
        <v>689</v>
      </c>
      <c r="I36" s="79">
        <v>1140</v>
      </c>
      <c r="J36" s="79">
        <v>1560</v>
      </c>
      <c r="K36" s="79">
        <f>VLOOKUP(A36,집배구수!$A$5:$G$42,6,FALSE)</f>
        <v>49</v>
      </c>
      <c r="L36" s="79">
        <f>VLOOKUP(A36,집배구수!$A$5:$G$42,7,FALSE)</f>
        <v>3</v>
      </c>
      <c r="M36" s="79">
        <f t="shared" si="2"/>
        <v>52</v>
      </c>
      <c r="N36" s="81">
        <f t="shared" si="1"/>
        <v>1200</v>
      </c>
      <c r="O36" s="26"/>
    </row>
    <row r="37" spans="1:15">
      <c r="A37" s="78" t="s">
        <v>1</v>
      </c>
      <c r="B37" s="86">
        <v>320</v>
      </c>
      <c r="C37" s="79">
        <v>500</v>
      </c>
      <c r="D37" s="79">
        <v>310</v>
      </c>
      <c r="E37" s="79">
        <v>310</v>
      </c>
      <c r="F37" s="79">
        <v>310</v>
      </c>
      <c r="G37" s="79">
        <v>372</v>
      </c>
      <c r="H37" s="79">
        <v>403</v>
      </c>
      <c r="I37" s="79">
        <v>370</v>
      </c>
      <c r="J37" s="79">
        <v>540</v>
      </c>
      <c r="K37" s="79">
        <f>VLOOKUP(A37,집배구수!$A$5:$G$42,6,FALSE)</f>
        <v>27</v>
      </c>
      <c r="L37" s="79">
        <f>VLOOKUP(A37,집배구수!$A$5:$G$42,7,FALSE)</f>
        <v>3</v>
      </c>
      <c r="M37" s="79">
        <f t="shared" si="2"/>
        <v>30</v>
      </c>
      <c r="N37" s="81">
        <f t="shared" si="1"/>
        <v>700</v>
      </c>
      <c r="O37" s="26"/>
    </row>
    <row r="38" spans="1:15">
      <c r="A38" s="78" t="s">
        <v>26</v>
      </c>
      <c r="B38" s="86">
        <v>260</v>
      </c>
      <c r="C38" s="79">
        <v>400</v>
      </c>
      <c r="D38" s="79">
        <v>240</v>
      </c>
      <c r="E38" s="79">
        <v>240</v>
      </c>
      <c r="F38" s="79">
        <v>240</v>
      </c>
      <c r="G38" s="79">
        <v>288</v>
      </c>
      <c r="H38" s="79">
        <v>312</v>
      </c>
      <c r="I38" s="79">
        <v>280</v>
      </c>
      <c r="J38" s="79">
        <v>430</v>
      </c>
      <c r="K38" s="79">
        <f>VLOOKUP(A38,집배구수!$A$5:$G$42,6,FALSE)</f>
        <v>21</v>
      </c>
      <c r="L38" s="79">
        <f>VLOOKUP(A38,집배구수!$A$5:$G$42,7,FALSE)</f>
        <v>3</v>
      </c>
      <c r="M38" s="79">
        <f t="shared" si="2"/>
        <v>24</v>
      </c>
      <c r="N38" s="81">
        <f t="shared" si="1"/>
        <v>600</v>
      </c>
      <c r="O38" s="26"/>
    </row>
    <row r="39" spans="1:15">
      <c r="A39" s="78" t="s">
        <v>16</v>
      </c>
      <c r="B39" s="86">
        <v>390</v>
      </c>
      <c r="C39" s="79">
        <v>500</v>
      </c>
      <c r="D39" s="79">
        <v>370</v>
      </c>
      <c r="E39" s="79">
        <v>370</v>
      </c>
      <c r="F39" s="79">
        <v>370</v>
      </c>
      <c r="G39" s="79">
        <v>432</v>
      </c>
      <c r="H39" s="79">
        <v>468</v>
      </c>
      <c r="I39" s="79">
        <v>430</v>
      </c>
      <c r="J39" s="79">
        <v>640</v>
      </c>
      <c r="K39" s="79">
        <f>VLOOKUP(A39,집배구수!$A$5:$G$42,6,FALSE)</f>
        <v>32</v>
      </c>
      <c r="L39" s="79">
        <f>VLOOKUP(A39,집배구수!$A$5:$G$42,7,FALSE)</f>
        <v>4</v>
      </c>
      <c r="M39" s="79">
        <f t="shared" si="2"/>
        <v>36</v>
      </c>
      <c r="N39" s="81">
        <f t="shared" si="1"/>
        <v>900</v>
      </c>
      <c r="O39" s="26"/>
    </row>
    <row r="40" spans="1:15">
      <c r="A40" s="78" t="s">
        <v>27</v>
      </c>
      <c r="B40" s="86">
        <v>430</v>
      </c>
      <c r="C40" s="79">
        <v>500</v>
      </c>
      <c r="D40" s="79">
        <v>420</v>
      </c>
      <c r="E40" s="79">
        <v>400</v>
      </c>
      <c r="F40" s="79">
        <v>400</v>
      </c>
      <c r="G40" s="79">
        <v>480</v>
      </c>
      <c r="H40" s="79">
        <v>520</v>
      </c>
      <c r="I40" s="79">
        <v>480</v>
      </c>
      <c r="J40" s="79">
        <v>720</v>
      </c>
      <c r="K40" s="79">
        <f>VLOOKUP(A40,집배구수!$A$5:$G$42,6,FALSE)</f>
        <v>37</v>
      </c>
      <c r="L40" s="79">
        <f>VLOOKUP(A40,집배구수!$A$5:$G$42,7,FALSE)</f>
        <v>3</v>
      </c>
      <c r="M40" s="79">
        <f t="shared" si="2"/>
        <v>40</v>
      </c>
      <c r="N40" s="81">
        <f t="shared" si="1"/>
        <v>1000</v>
      </c>
      <c r="O40" s="26"/>
    </row>
    <row r="41" spans="1:15">
      <c r="A41" s="78" t="s">
        <v>10</v>
      </c>
      <c r="B41" s="86">
        <v>360</v>
      </c>
      <c r="C41" s="79">
        <v>500</v>
      </c>
      <c r="D41" s="79">
        <v>350</v>
      </c>
      <c r="E41" s="79">
        <v>350</v>
      </c>
      <c r="F41" s="79">
        <v>350</v>
      </c>
      <c r="G41" s="79">
        <v>420</v>
      </c>
      <c r="H41" s="79">
        <v>455</v>
      </c>
      <c r="I41" s="79">
        <v>420</v>
      </c>
      <c r="J41" s="79">
        <v>640</v>
      </c>
      <c r="K41" s="79">
        <f>VLOOKUP(A41,집배구수!$A$5:$G$42,6,FALSE)</f>
        <v>33</v>
      </c>
      <c r="L41" s="79">
        <f>VLOOKUP(A41,집배구수!$A$5:$G$42,7,FALSE)</f>
        <v>3</v>
      </c>
      <c r="M41" s="79">
        <f t="shared" si="2"/>
        <v>36</v>
      </c>
      <c r="N41" s="81">
        <f t="shared" si="1"/>
        <v>900</v>
      </c>
      <c r="O41" s="26"/>
    </row>
    <row r="42" spans="1:15">
      <c r="A42" s="78" t="s">
        <v>17</v>
      </c>
      <c r="B42" s="86">
        <v>350</v>
      </c>
      <c r="C42" s="79">
        <v>500</v>
      </c>
      <c r="D42" s="79">
        <v>350</v>
      </c>
      <c r="E42" s="79">
        <v>340</v>
      </c>
      <c r="F42" s="79">
        <v>310</v>
      </c>
      <c r="G42" s="79">
        <v>372</v>
      </c>
      <c r="H42" s="79">
        <v>403</v>
      </c>
      <c r="I42" s="79">
        <v>370</v>
      </c>
      <c r="J42" s="79">
        <v>540</v>
      </c>
      <c r="K42" s="79">
        <f>VLOOKUP(A42,집배구수!$A$5:$G$42,6,FALSE)</f>
        <v>27</v>
      </c>
      <c r="L42" s="79">
        <f>VLOOKUP(A42,집배구수!$A$5:$G$42,7,FALSE)</f>
        <v>3</v>
      </c>
      <c r="M42" s="79">
        <f t="shared" si="2"/>
        <v>30</v>
      </c>
      <c r="N42" s="81">
        <f t="shared" si="1"/>
        <v>700</v>
      </c>
      <c r="O42" s="26"/>
    </row>
    <row r="43" spans="1:15">
      <c r="A43" s="78" t="s">
        <v>38</v>
      </c>
      <c r="B43" s="86">
        <v>450</v>
      </c>
      <c r="C43" s="79">
        <v>600</v>
      </c>
      <c r="D43" s="79">
        <v>400</v>
      </c>
      <c r="E43" s="79">
        <v>410</v>
      </c>
      <c r="F43" s="79">
        <v>400</v>
      </c>
      <c r="G43" s="79">
        <v>492</v>
      </c>
      <c r="H43" s="79">
        <v>533</v>
      </c>
      <c r="I43" s="79">
        <v>490</v>
      </c>
      <c r="J43" s="79">
        <v>730</v>
      </c>
      <c r="K43" s="79">
        <f>VLOOKUP(A43,집배구수!$A$5:$G$42,6,FALSE)</f>
        <v>39</v>
      </c>
      <c r="L43" s="79">
        <f>VLOOKUP(A43,집배구수!$A$5:$G$42,7,FALSE)</f>
        <v>2</v>
      </c>
      <c r="M43" s="79">
        <f t="shared" si="2"/>
        <v>41</v>
      </c>
      <c r="N43" s="81">
        <f t="shared" si="1"/>
        <v>1000</v>
      </c>
      <c r="O43" s="26"/>
    </row>
    <row r="44" spans="1:15">
      <c r="A44" s="78" t="s">
        <v>86</v>
      </c>
      <c r="B44" s="86">
        <v>11640</v>
      </c>
      <c r="C44" s="79">
        <v>9100</v>
      </c>
      <c r="D44" s="79">
        <v>14600</v>
      </c>
      <c r="E44" s="79">
        <v>16590</v>
      </c>
      <c r="F44" s="79">
        <v>16320</v>
      </c>
      <c r="G44" s="79">
        <v>13000</v>
      </c>
      <c r="H44" s="79">
        <v>15930</v>
      </c>
      <c r="I44" s="79">
        <v>14250</v>
      </c>
      <c r="J44" s="79">
        <v>15660</v>
      </c>
      <c r="K44" s="79">
        <f>'집중국 인원'!I5</f>
        <v>473</v>
      </c>
      <c r="L44" s="79"/>
      <c r="M44" s="79">
        <f t="shared" si="2"/>
        <v>473</v>
      </c>
      <c r="N44" s="81">
        <f>ROUNDDOWN(M44*6*6,-2)</f>
        <v>17000</v>
      </c>
      <c r="O44" s="26"/>
    </row>
    <row r="45" spans="1:15">
      <c r="A45" s="78" t="s">
        <v>87</v>
      </c>
      <c r="B45" s="86">
        <v>5140</v>
      </c>
      <c r="C45" s="79">
        <v>3700</v>
      </c>
      <c r="D45" s="79">
        <v>6175</v>
      </c>
      <c r="E45" s="79">
        <v>6990</v>
      </c>
      <c r="F45" s="79">
        <v>6810</v>
      </c>
      <c r="G45" s="79">
        <v>5000</v>
      </c>
      <c r="H45" s="79">
        <v>6480</v>
      </c>
      <c r="I45" s="79">
        <v>6360</v>
      </c>
      <c r="J45" s="79">
        <v>7630</v>
      </c>
      <c r="K45" s="79">
        <f>'집중국 인원'!I6</f>
        <v>211</v>
      </c>
      <c r="L45" s="79"/>
      <c r="M45" s="79">
        <f t="shared" si="2"/>
        <v>211</v>
      </c>
      <c r="N45" s="81">
        <f t="shared" ref="N45" si="3">ROUNDDOWN(M45*6*6,-2)</f>
        <v>7500</v>
      </c>
      <c r="O45" s="26"/>
    </row>
    <row r="46" spans="1:15">
      <c r="A46" s="78" t="s">
        <v>88</v>
      </c>
      <c r="B46" s="86">
        <v>5080</v>
      </c>
      <c r="C46" s="79">
        <v>3400</v>
      </c>
      <c r="D46" s="79">
        <v>5025</v>
      </c>
      <c r="E46" s="79">
        <v>5670</v>
      </c>
      <c r="F46" s="79">
        <v>5250</v>
      </c>
      <c r="G46" s="79">
        <v>5000</v>
      </c>
      <c r="H46" s="79">
        <v>4800</v>
      </c>
      <c r="I46" s="79">
        <v>4680</v>
      </c>
      <c r="J46" s="79">
        <v>4820</v>
      </c>
      <c r="K46" s="79">
        <f>'집중국 인원'!I7</f>
        <v>163</v>
      </c>
      <c r="L46" s="79"/>
      <c r="M46" s="79">
        <f t="shared" si="2"/>
        <v>163</v>
      </c>
      <c r="N46" s="81">
        <f>ROUNDDOWN(M46*6*6,-2)+1200</f>
        <v>7000</v>
      </c>
      <c r="O46" s="26"/>
    </row>
    <row r="47" spans="1:15">
      <c r="A47" s="82" t="s">
        <v>89</v>
      </c>
      <c r="B47" s="87">
        <v>4340</v>
      </c>
      <c r="C47" s="83">
        <v>3500</v>
      </c>
      <c r="D47" s="83">
        <v>6600</v>
      </c>
      <c r="E47" s="83">
        <v>7320</v>
      </c>
      <c r="F47" s="83">
        <v>6900</v>
      </c>
      <c r="G47" s="83">
        <v>5000</v>
      </c>
      <c r="H47" s="83">
        <v>5970</v>
      </c>
      <c r="I47" s="83">
        <v>5460</v>
      </c>
      <c r="J47" s="83">
        <v>7160</v>
      </c>
      <c r="K47" s="83">
        <f>'집중국 인원'!I8</f>
        <v>187</v>
      </c>
      <c r="L47" s="83"/>
      <c r="M47" s="83">
        <f t="shared" si="2"/>
        <v>187</v>
      </c>
      <c r="N47" s="84">
        <f>ROUNDDOWN(M47*6*6,-2)+300</f>
        <v>7000</v>
      </c>
      <c r="O47" s="28"/>
    </row>
    <row r="48" spans="1:15">
      <c r="A48" s="8">
        <v>1</v>
      </c>
      <c r="B48" s="8">
        <v>2</v>
      </c>
      <c r="C48" s="8">
        <v>3</v>
      </c>
      <c r="D48" s="8">
        <v>4</v>
      </c>
      <c r="E48" s="8">
        <v>5</v>
      </c>
      <c r="F48" s="8">
        <v>6</v>
      </c>
      <c r="G48" s="8">
        <v>7</v>
      </c>
      <c r="H48" s="8">
        <v>8</v>
      </c>
      <c r="I48" s="8">
        <v>9</v>
      </c>
      <c r="J48" s="8">
        <v>10</v>
      </c>
      <c r="K48" s="8">
        <v>11</v>
      </c>
      <c r="L48" s="8">
        <v>12</v>
      </c>
      <c r="M48" s="8">
        <v>13</v>
      </c>
      <c r="N48" s="8">
        <v>14</v>
      </c>
      <c r="O48" s="8"/>
    </row>
  </sheetData>
  <mergeCells count="6">
    <mergeCell ref="A1:O1"/>
    <mergeCell ref="A3:A4"/>
    <mergeCell ref="K3:M3"/>
    <mergeCell ref="N3:N4"/>
    <mergeCell ref="O3:O4"/>
    <mergeCell ref="B3:J3"/>
  </mergeCells>
  <phoneticPr fontId="5" type="noConversion"/>
  <printOptions horizontalCentered="1"/>
  <pageMargins left="0.74803149606299213" right="0.74803149606299213" top="0.43307086614173229" bottom="0.19685039370078741" header="0.31496062992125984" footer="0.11811023622047245"/>
  <pageSetup paperSize="9" scale="5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:O48"/>
  <sheetViews>
    <sheetView workbookViewId="0">
      <selection activeCell="O19" sqref="O19"/>
    </sheetView>
  </sheetViews>
  <sheetFormatPr defaultRowHeight="13.5"/>
  <cols>
    <col min="1" max="1" width="9.77734375" style="6" customWidth="1"/>
    <col min="2" max="10" width="8.77734375" style="6" hidden="1" customWidth="1"/>
    <col min="11" max="14" width="8.77734375" style="6" customWidth="1"/>
    <col min="15" max="15" width="31.77734375" style="12" bestFit="1" customWidth="1"/>
    <col min="16" max="16384" width="8.88671875" style="6"/>
  </cols>
  <sheetData>
    <row r="1" spans="1:15" ht="32.1" customHeight="1">
      <c r="A1" s="257" t="s">
        <v>226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</row>
    <row r="2" spans="1:15" ht="15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"/>
    </row>
    <row r="3" spans="1:15">
      <c r="A3" s="258" t="s">
        <v>76</v>
      </c>
      <c r="B3" s="260" t="s">
        <v>69</v>
      </c>
      <c r="C3" s="261"/>
      <c r="D3" s="261"/>
      <c r="E3" s="261"/>
      <c r="F3" s="261"/>
      <c r="G3" s="261"/>
      <c r="H3" s="261"/>
      <c r="I3" s="261"/>
      <c r="J3" s="262"/>
      <c r="K3" s="265" t="s">
        <v>46</v>
      </c>
      <c r="L3" s="266"/>
      <c r="M3" s="265"/>
      <c r="N3" s="265"/>
      <c r="O3" s="267" t="s">
        <v>79</v>
      </c>
    </row>
    <row r="4" spans="1:15" s="11" customFormat="1">
      <c r="A4" s="258"/>
      <c r="B4" s="24" t="s">
        <v>77</v>
      </c>
      <c r="C4" s="7" t="s">
        <v>78</v>
      </c>
      <c r="D4" s="7" t="s">
        <v>92</v>
      </c>
      <c r="E4" s="7" t="s">
        <v>93</v>
      </c>
      <c r="F4" s="7" t="s">
        <v>90</v>
      </c>
      <c r="G4" s="7" t="s">
        <v>99</v>
      </c>
      <c r="H4" s="7" t="s">
        <v>107</v>
      </c>
      <c r="I4" s="41" t="s">
        <v>145</v>
      </c>
      <c r="J4" s="146" t="s">
        <v>192</v>
      </c>
      <c r="K4" s="21" t="s">
        <v>100</v>
      </c>
      <c r="L4" s="231" t="s">
        <v>223</v>
      </c>
      <c r="M4" s="225" t="s">
        <v>91</v>
      </c>
      <c r="N4" s="224" t="s">
        <v>227</v>
      </c>
      <c r="O4" s="267"/>
    </row>
    <row r="5" spans="1:15">
      <c r="A5" s="22" t="s">
        <v>20</v>
      </c>
      <c r="B5" s="25">
        <f t="shared" ref="B5:N5" si="0">SUM(B6:B47)</f>
        <v>86500</v>
      </c>
      <c r="C5" s="25">
        <f t="shared" si="0"/>
        <v>66400</v>
      </c>
      <c r="D5" s="25">
        <f t="shared" si="0"/>
        <v>58300</v>
      </c>
      <c r="E5" s="25">
        <f t="shared" si="0"/>
        <v>72410</v>
      </c>
      <c r="F5" s="25">
        <f t="shared" si="0"/>
        <v>71610</v>
      </c>
      <c r="G5" s="25">
        <f t="shared" si="0"/>
        <v>68580</v>
      </c>
      <c r="H5" s="25">
        <f t="shared" si="0"/>
        <v>73510</v>
      </c>
      <c r="I5" s="25">
        <f t="shared" si="0"/>
        <v>67750</v>
      </c>
      <c r="J5" s="25">
        <f t="shared" si="0"/>
        <v>75350</v>
      </c>
      <c r="K5" s="54">
        <f t="shared" si="0"/>
        <v>76300</v>
      </c>
      <c r="L5" s="232"/>
      <c r="M5" s="25">
        <f t="shared" si="0"/>
        <v>86100</v>
      </c>
      <c r="N5" s="25">
        <f t="shared" si="0"/>
        <v>500</v>
      </c>
      <c r="O5" s="92"/>
    </row>
    <row r="6" spans="1:15" s="5" customFormat="1">
      <c r="A6" s="73" t="s">
        <v>19</v>
      </c>
      <c r="B6" s="85">
        <v>4000</v>
      </c>
      <c r="C6" s="74">
        <v>3000</v>
      </c>
      <c r="D6" s="74">
        <v>3540</v>
      </c>
      <c r="E6" s="74">
        <v>3460</v>
      </c>
      <c r="F6" s="74">
        <v>3720</v>
      </c>
      <c r="G6" s="74">
        <v>3630</v>
      </c>
      <c r="H6" s="74">
        <v>3880</v>
      </c>
      <c r="I6" s="74">
        <v>3300</v>
      </c>
      <c r="J6" s="74">
        <v>3500</v>
      </c>
      <c r="K6" s="89">
        <f>VLOOKUP(A6,'임차비 산출내역'!$A$6:$P$43,13,FALSE)</f>
        <v>4400</v>
      </c>
      <c r="L6" s="89"/>
      <c r="M6" s="76">
        <f>K6+L6</f>
        <v>4400</v>
      </c>
      <c r="N6" s="77"/>
      <c r="O6" s="94" t="s">
        <v>94</v>
      </c>
    </row>
    <row r="7" spans="1:15" s="5" customFormat="1">
      <c r="A7" s="78" t="s">
        <v>11</v>
      </c>
      <c r="B7" s="86">
        <v>2500</v>
      </c>
      <c r="C7" s="79">
        <v>3500</v>
      </c>
      <c r="D7" s="79">
        <v>2600</v>
      </c>
      <c r="E7" s="79">
        <v>2390</v>
      </c>
      <c r="F7" s="79">
        <v>3520</v>
      </c>
      <c r="G7" s="79">
        <v>3110</v>
      </c>
      <c r="H7" s="79">
        <v>2790</v>
      </c>
      <c r="I7" s="79">
        <v>2960</v>
      </c>
      <c r="J7" s="79">
        <v>2960</v>
      </c>
      <c r="K7" s="90">
        <f>VLOOKUP(A7,'임차비 산출내역'!$A$7:$P$43,13,FALSE)</f>
        <v>2000</v>
      </c>
      <c r="L7" s="90">
        <v>900</v>
      </c>
      <c r="M7" s="80">
        <f t="shared" ref="M7:M47" si="1">K7+L7</f>
        <v>2900</v>
      </c>
      <c r="N7" s="81"/>
      <c r="O7" s="93" t="s">
        <v>101</v>
      </c>
    </row>
    <row r="8" spans="1:15" s="5" customFormat="1">
      <c r="A8" s="78" t="s">
        <v>33</v>
      </c>
      <c r="B8" s="86">
        <v>2500</v>
      </c>
      <c r="C8" s="79">
        <v>2000</v>
      </c>
      <c r="D8" s="79">
        <v>2280</v>
      </c>
      <c r="E8" s="79">
        <v>2810</v>
      </c>
      <c r="F8" s="79">
        <v>3040</v>
      </c>
      <c r="G8" s="79">
        <v>2730</v>
      </c>
      <c r="H8" s="79">
        <v>3080</v>
      </c>
      <c r="I8" s="79">
        <v>3600</v>
      </c>
      <c r="J8" s="79">
        <v>3600</v>
      </c>
      <c r="K8" s="90">
        <f>VLOOKUP(A8,'임차비 산출내역'!$A$7:$P$43,13,FALSE)</f>
        <v>3200</v>
      </c>
      <c r="L8" s="90"/>
      <c r="M8" s="80">
        <f t="shared" si="1"/>
        <v>3200</v>
      </c>
      <c r="N8" s="81"/>
      <c r="O8" s="93"/>
    </row>
    <row r="9" spans="1:15" s="5" customFormat="1">
      <c r="A9" s="78" t="s">
        <v>28</v>
      </c>
      <c r="B9" s="86">
        <v>3500</v>
      </c>
      <c r="C9" s="79">
        <v>2000</v>
      </c>
      <c r="D9" s="79">
        <v>4010</v>
      </c>
      <c r="E9" s="79">
        <v>3990</v>
      </c>
      <c r="F9" s="79">
        <v>4910</v>
      </c>
      <c r="G9" s="79">
        <v>4820</v>
      </c>
      <c r="H9" s="79">
        <v>4000</v>
      </c>
      <c r="I9" s="79">
        <v>4200</v>
      </c>
      <c r="J9" s="79">
        <v>4300</v>
      </c>
      <c r="K9" s="90">
        <f>VLOOKUP(A9,'임차비 산출내역'!$A$7:$P$43,13,FALSE)</f>
        <v>5200</v>
      </c>
      <c r="L9" s="90"/>
      <c r="M9" s="80">
        <f t="shared" si="1"/>
        <v>5200</v>
      </c>
      <c r="N9" s="81"/>
      <c r="O9" s="93" t="s">
        <v>167</v>
      </c>
    </row>
    <row r="10" spans="1:15" s="5" customFormat="1">
      <c r="A10" s="78" t="s">
        <v>59</v>
      </c>
      <c r="B10" s="86">
        <v>2000</v>
      </c>
      <c r="C10" s="79">
        <v>1500</v>
      </c>
      <c r="D10" s="79">
        <v>1990</v>
      </c>
      <c r="E10" s="79">
        <v>2500</v>
      </c>
      <c r="F10" s="79">
        <v>2490</v>
      </c>
      <c r="G10" s="79">
        <v>2240</v>
      </c>
      <c r="H10" s="79">
        <v>2390</v>
      </c>
      <c r="I10" s="79">
        <v>2100</v>
      </c>
      <c r="J10" s="79">
        <v>2100</v>
      </c>
      <c r="K10" s="90">
        <f>VLOOKUP(A10,'임차비 산출내역'!$A$7:$P$43,13,FALSE)</f>
        <v>2500</v>
      </c>
      <c r="L10" s="90"/>
      <c r="M10" s="80">
        <f t="shared" si="1"/>
        <v>2500</v>
      </c>
      <c r="N10" s="81"/>
      <c r="O10" s="27"/>
    </row>
    <row r="11" spans="1:15" s="5" customFormat="1">
      <c r="A11" s="78" t="s">
        <v>57</v>
      </c>
      <c r="B11" s="86">
        <v>2000</v>
      </c>
      <c r="C11" s="79">
        <v>1500</v>
      </c>
      <c r="D11" s="79">
        <v>2350</v>
      </c>
      <c r="E11" s="79">
        <v>2740</v>
      </c>
      <c r="F11" s="79">
        <v>2750</v>
      </c>
      <c r="G11" s="79">
        <v>2620</v>
      </c>
      <c r="H11" s="79">
        <v>2770</v>
      </c>
      <c r="I11" s="79">
        <v>2400</v>
      </c>
      <c r="J11" s="79">
        <v>2400</v>
      </c>
      <c r="K11" s="90">
        <f>VLOOKUP(A11,'임차비 산출내역'!$A$7:$P$43,13,FALSE)</f>
        <v>2800</v>
      </c>
      <c r="L11" s="90"/>
      <c r="M11" s="80">
        <f t="shared" si="1"/>
        <v>2800</v>
      </c>
      <c r="N11" s="81"/>
      <c r="O11" s="93"/>
    </row>
    <row r="12" spans="1:15" s="5" customFormat="1">
      <c r="A12" s="78" t="s">
        <v>53</v>
      </c>
      <c r="B12" s="86">
        <v>3500</v>
      </c>
      <c r="C12" s="79">
        <v>3000</v>
      </c>
      <c r="D12" s="79">
        <v>2670</v>
      </c>
      <c r="E12" s="79">
        <v>2920</v>
      </c>
      <c r="F12" s="79">
        <v>3220</v>
      </c>
      <c r="G12" s="79">
        <v>3000</v>
      </c>
      <c r="H12" s="79">
        <v>2720</v>
      </c>
      <c r="I12" s="79">
        <v>2300</v>
      </c>
      <c r="J12" s="79">
        <v>2800</v>
      </c>
      <c r="K12" s="90">
        <f>VLOOKUP(A12,'임차비 산출내역'!$A$7:$P$43,13,FALSE)</f>
        <v>2800</v>
      </c>
      <c r="L12" s="90"/>
      <c r="M12" s="80">
        <f t="shared" si="1"/>
        <v>2800</v>
      </c>
      <c r="N12" s="81"/>
      <c r="O12" s="93"/>
    </row>
    <row r="13" spans="1:15" s="5" customFormat="1">
      <c r="A13" s="78" t="s">
        <v>7</v>
      </c>
      <c r="B13" s="86">
        <v>7000</v>
      </c>
      <c r="C13" s="79">
        <v>5500</v>
      </c>
      <c r="D13" s="79">
        <v>2850</v>
      </c>
      <c r="E13" s="79">
        <v>3550</v>
      </c>
      <c r="F13" s="79">
        <v>4630</v>
      </c>
      <c r="G13" s="79"/>
      <c r="H13" s="79">
        <v>5790</v>
      </c>
      <c r="I13" s="79">
        <v>6290</v>
      </c>
      <c r="J13" s="79">
        <v>6390</v>
      </c>
      <c r="K13" s="90">
        <f>VLOOKUP(A13,'임차비 산출내역'!$A$7:$P$43,13,FALSE)</f>
        <v>5600</v>
      </c>
      <c r="L13" s="90">
        <v>1000</v>
      </c>
      <c r="M13" s="80">
        <f t="shared" si="1"/>
        <v>6600</v>
      </c>
      <c r="N13" s="81"/>
      <c r="O13" s="93"/>
    </row>
    <row r="14" spans="1:15" s="5" customFormat="1">
      <c r="A14" s="78" t="s">
        <v>25</v>
      </c>
      <c r="B14" s="86">
        <v>2000</v>
      </c>
      <c r="C14" s="79">
        <v>1200</v>
      </c>
      <c r="D14" s="79">
        <v>1870</v>
      </c>
      <c r="E14" s="79">
        <v>1890</v>
      </c>
      <c r="F14" s="79">
        <v>1790</v>
      </c>
      <c r="G14" s="79">
        <v>1370</v>
      </c>
      <c r="H14" s="79">
        <v>600</v>
      </c>
      <c r="I14" s="79">
        <v>2800</v>
      </c>
      <c r="J14" s="79">
        <v>2900</v>
      </c>
      <c r="K14" s="90">
        <f>VLOOKUP(A14,'임차비 산출내역'!$A$7:$P$43,13,FALSE)</f>
        <v>2600</v>
      </c>
      <c r="L14" s="90">
        <v>1500</v>
      </c>
      <c r="M14" s="80">
        <f t="shared" si="1"/>
        <v>4100</v>
      </c>
      <c r="N14" s="81"/>
      <c r="O14" s="93"/>
    </row>
    <row r="15" spans="1:15" s="5" customFormat="1">
      <c r="A15" s="78" t="s">
        <v>60</v>
      </c>
      <c r="B15" s="86">
        <v>2000</v>
      </c>
      <c r="C15" s="79">
        <v>2000</v>
      </c>
      <c r="D15" s="79">
        <v>1670</v>
      </c>
      <c r="E15" s="79">
        <v>1820</v>
      </c>
      <c r="F15" s="79">
        <v>1680</v>
      </c>
      <c r="G15" s="79">
        <v>2100</v>
      </c>
      <c r="H15" s="79">
        <v>2180</v>
      </c>
      <c r="I15" s="79">
        <v>2100</v>
      </c>
      <c r="J15" s="79">
        <v>2100</v>
      </c>
      <c r="K15" s="90">
        <f>VLOOKUP(A15,'임차비 산출내역'!$A$7:$P$43,13,FALSE)</f>
        <v>2600</v>
      </c>
      <c r="L15" s="90"/>
      <c r="M15" s="80">
        <f t="shared" si="1"/>
        <v>2600</v>
      </c>
      <c r="N15" s="81"/>
      <c r="O15" s="93"/>
    </row>
    <row r="16" spans="1:15" s="5" customFormat="1">
      <c r="A16" s="78" t="s">
        <v>15</v>
      </c>
      <c r="B16" s="86">
        <v>1500</v>
      </c>
      <c r="C16" s="79">
        <v>1200</v>
      </c>
      <c r="D16" s="79">
        <v>1040</v>
      </c>
      <c r="E16" s="79">
        <v>1760</v>
      </c>
      <c r="F16" s="79">
        <v>1440</v>
      </c>
      <c r="G16" s="79">
        <v>1020</v>
      </c>
      <c r="H16" s="79">
        <v>1120</v>
      </c>
      <c r="I16" s="79">
        <v>900</v>
      </c>
      <c r="J16" s="79">
        <v>1200</v>
      </c>
      <c r="K16" s="90">
        <f>VLOOKUP(A16,'임차비 산출내역'!$A$7:$P$43,13,FALSE)</f>
        <v>1100</v>
      </c>
      <c r="L16" s="90">
        <v>100</v>
      </c>
      <c r="M16" s="80">
        <f t="shared" si="1"/>
        <v>1200</v>
      </c>
      <c r="N16" s="81"/>
      <c r="O16" s="93"/>
    </row>
    <row r="17" spans="1:15" s="5" customFormat="1">
      <c r="A17" s="78" t="s">
        <v>61</v>
      </c>
      <c r="B17" s="86">
        <v>1000</v>
      </c>
      <c r="C17" s="79">
        <v>700</v>
      </c>
      <c r="D17" s="79">
        <v>1120</v>
      </c>
      <c r="E17" s="79">
        <v>1440</v>
      </c>
      <c r="F17" s="79">
        <v>1030</v>
      </c>
      <c r="G17" s="79">
        <v>1010</v>
      </c>
      <c r="H17" s="79">
        <v>1140</v>
      </c>
      <c r="I17" s="79">
        <v>1000</v>
      </c>
      <c r="J17" s="79">
        <v>1000</v>
      </c>
      <c r="K17" s="90">
        <f>VLOOKUP(A17,'임차비 산출내역'!$A$7:$P$43,13,FALSE)</f>
        <v>1100</v>
      </c>
      <c r="L17" s="90"/>
      <c r="M17" s="80">
        <f t="shared" si="1"/>
        <v>1100</v>
      </c>
      <c r="N17" s="81"/>
      <c r="O17" s="93"/>
    </row>
    <row r="18" spans="1:15" s="5" customFormat="1">
      <c r="A18" s="78" t="s">
        <v>6</v>
      </c>
      <c r="B18" s="86">
        <v>7000</v>
      </c>
      <c r="C18" s="79">
        <v>5000</v>
      </c>
      <c r="D18" s="79">
        <v>4000</v>
      </c>
      <c r="E18" s="79">
        <v>3910</v>
      </c>
      <c r="F18" s="79">
        <v>4240</v>
      </c>
      <c r="G18" s="79">
        <v>4550</v>
      </c>
      <c r="H18" s="79">
        <v>4390</v>
      </c>
      <c r="I18" s="79">
        <v>3500</v>
      </c>
      <c r="J18" s="79">
        <v>3600</v>
      </c>
      <c r="K18" s="90">
        <f>VLOOKUP(A18,'임차비 산출내역'!$A$7:$P$43,13,FALSE)</f>
        <v>4400</v>
      </c>
      <c r="L18" s="90">
        <v>1500</v>
      </c>
      <c r="M18" s="80">
        <f t="shared" si="1"/>
        <v>5900</v>
      </c>
      <c r="N18" s="81"/>
      <c r="O18" s="93"/>
    </row>
    <row r="19" spans="1:15" s="5" customFormat="1">
      <c r="A19" s="78" t="s">
        <v>39</v>
      </c>
      <c r="B19" s="86">
        <v>6500</v>
      </c>
      <c r="C19" s="79">
        <v>4000</v>
      </c>
      <c r="D19" s="79">
        <v>1520</v>
      </c>
      <c r="E19" s="79">
        <v>3750</v>
      </c>
      <c r="F19" s="79">
        <v>4180</v>
      </c>
      <c r="G19" s="79">
        <v>4490</v>
      </c>
      <c r="H19" s="79">
        <v>4280</v>
      </c>
      <c r="I19" s="79">
        <v>3400</v>
      </c>
      <c r="J19" s="79">
        <v>3900</v>
      </c>
      <c r="K19" s="90">
        <f>VLOOKUP(A19,'임차비 산출내역'!$A$7:$P$43,13,FALSE)</f>
        <v>4100</v>
      </c>
      <c r="L19" s="90">
        <v>1500</v>
      </c>
      <c r="M19" s="80">
        <f t="shared" si="1"/>
        <v>5600</v>
      </c>
      <c r="N19" s="81"/>
      <c r="O19" s="93"/>
    </row>
    <row r="20" spans="1:15" s="5" customFormat="1">
      <c r="A20" s="78" t="s">
        <v>29</v>
      </c>
      <c r="B20" s="86">
        <v>2500</v>
      </c>
      <c r="C20" s="79">
        <v>1800</v>
      </c>
      <c r="D20" s="79">
        <v>1680</v>
      </c>
      <c r="E20" s="79">
        <v>1390</v>
      </c>
      <c r="F20" s="79">
        <v>1110</v>
      </c>
      <c r="G20" s="79">
        <v>1830</v>
      </c>
      <c r="H20" s="79">
        <v>2080</v>
      </c>
      <c r="I20" s="79">
        <v>1600</v>
      </c>
      <c r="J20" s="79">
        <v>2000</v>
      </c>
      <c r="K20" s="90">
        <f>VLOOKUP(A20,'임차비 산출내역'!$A$7:$P$43,13,FALSE)</f>
        <v>1800</v>
      </c>
      <c r="L20" s="90">
        <v>300</v>
      </c>
      <c r="M20" s="80">
        <f t="shared" si="1"/>
        <v>2100</v>
      </c>
      <c r="N20" s="81"/>
      <c r="O20" s="93"/>
    </row>
    <row r="21" spans="1:15" s="5" customFormat="1">
      <c r="A21" s="78" t="s">
        <v>37</v>
      </c>
      <c r="B21" s="86">
        <v>4500</v>
      </c>
      <c r="C21" s="79">
        <v>4000</v>
      </c>
      <c r="D21" s="79">
        <v>2080</v>
      </c>
      <c r="E21" s="79">
        <v>3680</v>
      </c>
      <c r="F21" s="79">
        <v>4370</v>
      </c>
      <c r="G21" s="79">
        <v>3510</v>
      </c>
      <c r="H21" s="79">
        <v>4000</v>
      </c>
      <c r="I21" s="79">
        <v>3400</v>
      </c>
      <c r="J21" s="79">
        <v>3300</v>
      </c>
      <c r="K21" s="90">
        <f>VLOOKUP(A21,'임차비 산출내역'!$A$7:$P$43,13,FALSE)</f>
        <v>3900</v>
      </c>
      <c r="L21" s="90"/>
      <c r="M21" s="80">
        <f t="shared" si="1"/>
        <v>3900</v>
      </c>
      <c r="N21" s="81"/>
      <c r="O21" s="93"/>
    </row>
    <row r="22" spans="1:15" s="5" customFormat="1">
      <c r="A22" s="78" t="s">
        <v>2</v>
      </c>
      <c r="B22" s="86">
        <v>1500</v>
      </c>
      <c r="C22" s="79">
        <v>800</v>
      </c>
      <c r="D22" s="79">
        <v>1420</v>
      </c>
      <c r="E22" s="79">
        <v>1670</v>
      </c>
      <c r="F22" s="79">
        <v>1230</v>
      </c>
      <c r="G22" s="79">
        <v>1490</v>
      </c>
      <c r="H22" s="79">
        <v>0</v>
      </c>
      <c r="I22" s="79">
        <v>1100</v>
      </c>
      <c r="J22" s="79">
        <v>1200</v>
      </c>
      <c r="K22" s="90">
        <f>VLOOKUP(A22,'임차비 산출내역'!$A$7:$P$43,13,FALSE)</f>
        <v>1400</v>
      </c>
      <c r="L22" s="90"/>
      <c r="M22" s="80">
        <f t="shared" si="1"/>
        <v>1400</v>
      </c>
      <c r="N22" s="81"/>
      <c r="O22" s="93"/>
    </row>
    <row r="23" spans="1:15" s="5" customFormat="1">
      <c r="A23" s="78" t="s">
        <v>3</v>
      </c>
      <c r="B23" s="86">
        <v>7000</v>
      </c>
      <c r="C23" s="79">
        <v>4000</v>
      </c>
      <c r="D23" s="79">
        <v>4140</v>
      </c>
      <c r="E23" s="79">
        <v>3860</v>
      </c>
      <c r="F23" s="79">
        <v>4110</v>
      </c>
      <c r="G23" s="79">
        <v>4750</v>
      </c>
      <c r="H23" s="79">
        <v>3560</v>
      </c>
      <c r="I23" s="79">
        <v>4100</v>
      </c>
      <c r="J23" s="79">
        <v>4100</v>
      </c>
      <c r="K23" s="90">
        <f>VLOOKUP(A23,'임차비 산출내역'!$A$7:$P$43,13,FALSE)</f>
        <v>4900</v>
      </c>
      <c r="L23" s="90"/>
      <c r="M23" s="80">
        <f t="shared" si="1"/>
        <v>4900</v>
      </c>
      <c r="N23" s="81"/>
      <c r="O23" s="93"/>
    </row>
    <row r="24" spans="1:15" s="5" customFormat="1" ht="13.5" customHeight="1">
      <c r="A24" s="78" t="s">
        <v>5</v>
      </c>
      <c r="B24" s="86">
        <v>7000</v>
      </c>
      <c r="C24" s="79">
        <v>5000</v>
      </c>
      <c r="D24" s="79">
        <v>4140</v>
      </c>
      <c r="E24" s="79">
        <v>2690</v>
      </c>
      <c r="F24" s="79">
        <v>2730</v>
      </c>
      <c r="G24" s="79">
        <v>4350</v>
      </c>
      <c r="H24" s="79">
        <v>4530</v>
      </c>
      <c r="I24" s="79">
        <v>4000</v>
      </c>
      <c r="J24" s="79">
        <v>4000</v>
      </c>
      <c r="K24" s="90">
        <f>VLOOKUP(A24,'임차비 산출내역'!$A$7:$P$43,13,FALSE)</f>
        <v>4900</v>
      </c>
      <c r="L24" s="90">
        <v>800</v>
      </c>
      <c r="M24" s="80">
        <f t="shared" si="1"/>
        <v>5700</v>
      </c>
      <c r="N24" s="81"/>
      <c r="O24" s="93"/>
    </row>
    <row r="25" spans="1:15" s="5" customFormat="1">
      <c r="A25" s="78" t="s">
        <v>23</v>
      </c>
      <c r="B25" s="86">
        <v>4000</v>
      </c>
      <c r="C25" s="79">
        <v>2500</v>
      </c>
      <c r="D25" s="79">
        <v>2170</v>
      </c>
      <c r="E25" s="79">
        <v>2340</v>
      </c>
      <c r="F25" s="79">
        <v>2020</v>
      </c>
      <c r="G25" s="79">
        <v>2270</v>
      </c>
      <c r="H25" s="79">
        <v>2190</v>
      </c>
      <c r="I25" s="79">
        <v>2000</v>
      </c>
      <c r="J25" s="79">
        <v>2100</v>
      </c>
      <c r="K25" s="90">
        <f>VLOOKUP(A25,'임차비 산출내역'!$A$7:$P$43,13,FALSE)</f>
        <v>2700</v>
      </c>
      <c r="L25" s="90">
        <v>1000</v>
      </c>
      <c r="M25" s="80">
        <f t="shared" si="1"/>
        <v>3700</v>
      </c>
      <c r="N25" s="81"/>
      <c r="O25" s="93"/>
    </row>
    <row r="26" spans="1:15" s="5" customFormat="1">
      <c r="A26" s="78" t="s">
        <v>40</v>
      </c>
      <c r="B26" s="86">
        <v>2000</v>
      </c>
      <c r="C26" s="79">
        <v>1500</v>
      </c>
      <c r="D26" s="79">
        <v>2430</v>
      </c>
      <c r="E26" s="79">
        <v>3190</v>
      </c>
      <c r="F26" s="79">
        <v>2910</v>
      </c>
      <c r="G26" s="79">
        <v>2500</v>
      </c>
      <c r="H26" s="79">
        <v>3150</v>
      </c>
      <c r="I26" s="79">
        <v>1300</v>
      </c>
      <c r="J26" s="79">
        <v>2600</v>
      </c>
      <c r="K26" s="90">
        <f>VLOOKUP(A26,'임차비 산출내역'!$A$7:$P$43,13,FALSE)</f>
        <v>1600</v>
      </c>
      <c r="L26" s="90">
        <v>1200</v>
      </c>
      <c r="M26" s="80">
        <f t="shared" si="1"/>
        <v>2800</v>
      </c>
      <c r="N26" s="81"/>
      <c r="O26" s="93"/>
    </row>
    <row r="27" spans="1:15" s="5" customFormat="1">
      <c r="A27" s="78" t="s">
        <v>31</v>
      </c>
      <c r="B27" s="86">
        <v>1000</v>
      </c>
      <c r="C27" s="79">
        <v>800</v>
      </c>
      <c r="D27" s="79">
        <v>890</v>
      </c>
      <c r="E27" s="79">
        <v>1910</v>
      </c>
      <c r="F27" s="79">
        <v>1500</v>
      </c>
      <c r="G27" s="79">
        <v>1170</v>
      </c>
      <c r="H27" s="79">
        <v>0</v>
      </c>
      <c r="I27" s="79">
        <v>800</v>
      </c>
      <c r="J27" s="79">
        <v>900</v>
      </c>
      <c r="K27" s="90">
        <f>VLOOKUP(A27,'임차비 산출내역'!$A$7:$P$43,13,FALSE)</f>
        <v>1000</v>
      </c>
      <c r="L27" s="90"/>
      <c r="M27" s="80">
        <f t="shared" si="1"/>
        <v>1000</v>
      </c>
      <c r="N27" s="81"/>
      <c r="O27" s="93"/>
    </row>
    <row r="28" spans="1:15" s="5" customFormat="1">
      <c r="A28" s="78" t="s">
        <v>64</v>
      </c>
      <c r="B28" s="86">
        <v>1500</v>
      </c>
      <c r="C28" s="79">
        <v>700</v>
      </c>
      <c r="D28" s="79">
        <v>680</v>
      </c>
      <c r="E28" s="79">
        <v>1460</v>
      </c>
      <c r="F28" s="79">
        <v>1080</v>
      </c>
      <c r="G28" s="79">
        <v>980</v>
      </c>
      <c r="H28" s="79">
        <v>2000</v>
      </c>
      <c r="I28" s="79">
        <v>1400</v>
      </c>
      <c r="J28" s="79">
        <v>1400</v>
      </c>
      <c r="K28" s="90">
        <f>VLOOKUP(A28,'임차비 산출내역'!$A$7:$P$43,13,FALSE)</f>
        <v>1900</v>
      </c>
      <c r="L28" s="90"/>
      <c r="M28" s="80">
        <f t="shared" si="1"/>
        <v>1900</v>
      </c>
      <c r="N28" s="81"/>
      <c r="O28" s="93"/>
    </row>
    <row r="29" spans="1:15" s="5" customFormat="1">
      <c r="A29" s="78" t="s">
        <v>8</v>
      </c>
      <c r="B29" s="86">
        <v>2000</v>
      </c>
      <c r="C29" s="79">
        <v>700</v>
      </c>
      <c r="D29" s="79">
        <v>330</v>
      </c>
      <c r="E29" s="79">
        <v>1800</v>
      </c>
      <c r="F29" s="79">
        <v>1480</v>
      </c>
      <c r="G29" s="79">
        <v>1200</v>
      </c>
      <c r="H29" s="79">
        <v>1510</v>
      </c>
      <c r="I29" s="79">
        <v>1000</v>
      </c>
      <c r="J29" s="79">
        <v>1400</v>
      </c>
      <c r="K29" s="90">
        <f>VLOOKUP(A29,'임차비 산출내역'!$A$7:$P$43,13,FALSE)</f>
        <v>1300</v>
      </c>
      <c r="L29" s="90"/>
      <c r="M29" s="80">
        <f t="shared" si="1"/>
        <v>1300</v>
      </c>
      <c r="N29" s="81"/>
      <c r="O29" s="93"/>
    </row>
    <row r="30" spans="1:15" s="5" customFormat="1">
      <c r="A30" s="78" t="s">
        <v>13</v>
      </c>
      <c r="B30" s="86">
        <v>1500</v>
      </c>
      <c r="C30" s="79">
        <v>1000</v>
      </c>
      <c r="D30" s="79">
        <v>1630</v>
      </c>
      <c r="E30" s="79">
        <v>2130</v>
      </c>
      <c r="F30" s="79">
        <v>1710</v>
      </c>
      <c r="G30" s="79">
        <v>1680</v>
      </c>
      <c r="H30" s="79">
        <v>1830</v>
      </c>
      <c r="I30" s="79">
        <v>1100</v>
      </c>
      <c r="J30" s="79">
        <v>2000</v>
      </c>
      <c r="K30" s="90">
        <f>VLOOKUP(A30,'임차비 산출내역'!$A$7:$P$43,13,FALSE)</f>
        <v>1300</v>
      </c>
      <c r="L30" s="90"/>
      <c r="M30" s="80">
        <f t="shared" si="1"/>
        <v>1300</v>
      </c>
      <c r="N30" s="81"/>
      <c r="O30" s="93"/>
    </row>
    <row r="31" spans="1:15" s="5" customFormat="1">
      <c r="A31" s="78" t="s">
        <v>4</v>
      </c>
      <c r="B31" s="86">
        <v>500</v>
      </c>
      <c r="C31" s="79">
        <v>1000</v>
      </c>
      <c r="D31" s="79">
        <v>500</v>
      </c>
      <c r="E31" s="79">
        <v>1190</v>
      </c>
      <c r="F31" s="79">
        <v>730</v>
      </c>
      <c r="G31" s="79">
        <v>1160</v>
      </c>
      <c r="H31" s="79">
        <v>1230</v>
      </c>
      <c r="I31" s="79">
        <v>1200</v>
      </c>
      <c r="J31" s="79">
        <v>1700</v>
      </c>
      <c r="K31" s="90">
        <f>VLOOKUP(A31,'임차비 산출내역'!$A$7:$P$43,13,FALSE)</f>
        <v>0</v>
      </c>
      <c r="L31" s="90"/>
      <c r="M31" s="80">
        <f t="shared" si="1"/>
        <v>0</v>
      </c>
      <c r="N31" s="81">
        <v>500</v>
      </c>
      <c r="O31" s="93"/>
    </row>
    <row r="32" spans="1:15" s="5" customFormat="1">
      <c r="A32" s="78" t="s">
        <v>36</v>
      </c>
      <c r="B32" s="86">
        <v>0</v>
      </c>
      <c r="C32" s="79">
        <v>500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90">
        <f>VLOOKUP(A32,'임차비 산출내역'!$A$7:$P$43,13,FALSE)</f>
        <v>0</v>
      </c>
      <c r="L32" s="90"/>
      <c r="M32" s="80">
        <f t="shared" si="1"/>
        <v>0</v>
      </c>
      <c r="N32" s="81"/>
      <c r="O32" s="93"/>
    </row>
    <row r="33" spans="1:15" s="5" customFormat="1">
      <c r="A33" s="78" t="s">
        <v>18</v>
      </c>
      <c r="B33" s="86">
        <v>0</v>
      </c>
      <c r="C33" s="79">
        <v>300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90">
        <f>VLOOKUP(A33,'임차비 산출내역'!$A$7:$P$43,13,FALSE)</f>
        <v>0</v>
      </c>
      <c r="L33" s="90"/>
      <c r="M33" s="80">
        <f t="shared" si="1"/>
        <v>0</v>
      </c>
      <c r="N33" s="81"/>
      <c r="O33" s="93"/>
    </row>
    <row r="34" spans="1:15" s="5" customFormat="1">
      <c r="A34" s="78" t="s">
        <v>50</v>
      </c>
      <c r="B34" s="86">
        <v>2000</v>
      </c>
      <c r="C34" s="79">
        <v>1500</v>
      </c>
      <c r="D34" s="79">
        <v>1400</v>
      </c>
      <c r="E34" s="79">
        <v>1940</v>
      </c>
      <c r="F34" s="79">
        <v>1760</v>
      </c>
      <c r="G34" s="79">
        <v>1620</v>
      </c>
      <c r="H34" s="79">
        <v>1550</v>
      </c>
      <c r="I34" s="79">
        <v>1300</v>
      </c>
      <c r="J34" s="79">
        <v>1400</v>
      </c>
      <c r="K34" s="90">
        <f>VLOOKUP(A34,'임차비 산출내역'!$A$7:$P$43,13,FALSE)</f>
        <v>1600</v>
      </c>
      <c r="L34" s="90"/>
      <c r="M34" s="80">
        <f t="shared" si="1"/>
        <v>1600</v>
      </c>
      <c r="N34" s="81"/>
      <c r="O34" s="93"/>
    </row>
    <row r="35" spans="1:15" s="5" customFormat="1">
      <c r="A35" s="78" t="s">
        <v>24</v>
      </c>
      <c r="B35" s="86">
        <v>2000</v>
      </c>
      <c r="C35" s="79">
        <v>2000</v>
      </c>
      <c r="D35" s="79">
        <v>700</v>
      </c>
      <c r="E35" s="79">
        <v>1430</v>
      </c>
      <c r="F35" s="79">
        <v>1070</v>
      </c>
      <c r="G35" s="79">
        <v>860</v>
      </c>
      <c r="H35" s="79">
        <v>1110</v>
      </c>
      <c r="I35" s="79">
        <v>1800</v>
      </c>
      <c r="J35" s="79">
        <v>1700</v>
      </c>
      <c r="K35" s="90">
        <f>VLOOKUP(A35,'임차비 산출내역'!$A$7:$P$43,13,FALSE)</f>
        <v>1200</v>
      </c>
      <c r="L35" s="90"/>
      <c r="M35" s="80">
        <f t="shared" si="1"/>
        <v>1200</v>
      </c>
      <c r="N35" s="81"/>
      <c r="O35" s="93"/>
    </row>
    <row r="36" spans="1:15" s="5" customFormat="1">
      <c r="A36" s="78" t="s">
        <v>21</v>
      </c>
      <c r="B36" s="86">
        <v>500</v>
      </c>
      <c r="C36" s="79">
        <v>0</v>
      </c>
      <c r="D36" s="79">
        <v>600</v>
      </c>
      <c r="E36" s="79">
        <v>1600</v>
      </c>
      <c r="F36" s="79">
        <v>1160</v>
      </c>
      <c r="G36" s="79">
        <v>990</v>
      </c>
      <c r="H36" s="79">
        <v>930</v>
      </c>
      <c r="I36" s="79">
        <v>800</v>
      </c>
      <c r="J36" s="79">
        <v>900</v>
      </c>
      <c r="K36" s="90">
        <f>VLOOKUP(A36,'임차비 산출내역'!$A$7:$P$43,13,FALSE)</f>
        <v>1000</v>
      </c>
      <c r="L36" s="90"/>
      <c r="M36" s="80">
        <f t="shared" si="1"/>
        <v>1000</v>
      </c>
      <c r="N36" s="81"/>
      <c r="O36" s="93"/>
    </row>
    <row r="37" spans="1:15" s="5" customFormat="1">
      <c r="A37" s="78" t="s">
        <v>1</v>
      </c>
      <c r="B37" s="86">
        <v>0</v>
      </c>
      <c r="C37" s="79">
        <v>500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90">
        <f>VLOOKUP(A37,'임차비 산출내역'!$A$7:$P$43,13,FALSE)</f>
        <v>0</v>
      </c>
      <c r="L37" s="90"/>
      <c r="M37" s="81">
        <f t="shared" si="1"/>
        <v>0</v>
      </c>
      <c r="N37" s="81"/>
      <c r="O37" s="93"/>
    </row>
    <row r="38" spans="1:15" s="5" customFormat="1">
      <c r="A38" s="78" t="s">
        <v>26</v>
      </c>
      <c r="B38" s="86">
        <v>0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90">
        <f>VLOOKUP(A38,'임차비 산출내역'!$A$7:$P$43,13,FALSE)</f>
        <v>0</v>
      </c>
      <c r="L38" s="90"/>
      <c r="M38" s="81">
        <f t="shared" si="1"/>
        <v>0</v>
      </c>
      <c r="N38" s="81"/>
      <c r="O38" s="93"/>
    </row>
    <row r="39" spans="1:15" s="5" customFormat="1">
      <c r="A39" s="78" t="s">
        <v>16</v>
      </c>
      <c r="B39" s="86">
        <v>0</v>
      </c>
      <c r="C39" s="79">
        <v>300</v>
      </c>
      <c r="D39" s="79">
        <v>0</v>
      </c>
      <c r="E39" s="79">
        <v>0</v>
      </c>
      <c r="F39" s="79">
        <v>0</v>
      </c>
      <c r="G39" s="79">
        <v>510</v>
      </c>
      <c r="H39" s="79">
        <v>0</v>
      </c>
      <c r="I39" s="79">
        <v>0</v>
      </c>
      <c r="J39" s="79">
        <v>0</v>
      </c>
      <c r="K39" s="90">
        <f>VLOOKUP(A39,'임차비 산출내역'!$A$7:$P$43,13,FALSE)</f>
        <v>0</v>
      </c>
      <c r="L39" s="90"/>
      <c r="M39" s="81">
        <f t="shared" si="1"/>
        <v>0</v>
      </c>
      <c r="N39" s="81"/>
      <c r="O39" s="93"/>
    </row>
    <row r="40" spans="1:15" s="5" customFormat="1">
      <c r="A40" s="78" t="s">
        <v>27</v>
      </c>
      <c r="B40" s="86">
        <v>0</v>
      </c>
      <c r="C40" s="79">
        <v>900</v>
      </c>
      <c r="D40" s="79">
        <v>0</v>
      </c>
      <c r="E40" s="79">
        <v>0</v>
      </c>
      <c r="F40" s="79">
        <v>0</v>
      </c>
      <c r="G40" s="79">
        <v>460</v>
      </c>
      <c r="H40" s="79">
        <v>1010</v>
      </c>
      <c r="I40" s="79">
        <v>0</v>
      </c>
      <c r="J40" s="79">
        <v>600</v>
      </c>
      <c r="K40" s="90">
        <f>VLOOKUP(A40,'임차비 산출내역'!$A$7:$P$43,13,FALSE)</f>
        <v>600</v>
      </c>
      <c r="L40" s="90"/>
      <c r="M40" s="81">
        <f t="shared" si="1"/>
        <v>600</v>
      </c>
      <c r="N40" s="81"/>
      <c r="O40" s="93"/>
    </row>
    <row r="41" spans="1:15" s="5" customFormat="1">
      <c r="A41" s="78" t="s">
        <v>10</v>
      </c>
      <c r="B41" s="86">
        <v>0</v>
      </c>
      <c r="C41" s="79">
        <v>500</v>
      </c>
      <c r="D41" s="79">
        <v>0</v>
      </c>
      <c r="E41" s="79">
        <v>1200</v>
      </c>
      <c r="F41" s="79">
        <v>0</v>
      </c>
      <c r="G41" s="79">
        <v>560</v>
      </c>
      <c r="H41" s="79">
        <v>600</v>
      </c>
      <c r="I41" s="79">
        <v>0</v>
      </c>
      <c r="J41" s="79">
        <v>600</v>
      </c>
      <c r="K41" s="90">
        <f>VLOOKUP(A41,'임차비 산출내역'!$A$7:$P$43,13,FALSE)</f>
        <v>800</v>
      </c>
      <c r="L41" s="90"/>
      <c r="M41" s="81">
        <f t="shared" si="1"/>
        <v>800</v>
      </c>
      <c r="N41" s="81"/>
      <c r="O41" s="95"/>
    </row>
    <row r="42" spans="1:15" s="5" customFormat="1">
      <c r="A42" s="78" t="s">
        <v>17</v>
      </c>
      <c r="B42" s="86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90">
        <f>VLOOKUP(A42,'임차비 산출내역'!$A$7:$P$43,13,FALSE)</f>
        <v>0</v>
      </c>
      <c r="L42" s="90"/>
      <c r="M42" s="81">
        <f t="shared" si="1"/>
        <v>0</v>
      </c>
      <c r="N42" s="81"/>
      <c r="O42" s="93"/>
    </row>
    <row r="43" spans="1:15" s="5" customFormat="1">
      <c r="A43" s="78" t="s">
        <v>38</v>
      </c>
      <c r="B43" s="86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1100</v>
      </c>
      <c r="I43" s="79">
        <v>0</v>
      </c>
      <c r="J43" s="79">
        <v>700</v>
      </c>
      <c r="K43" s="90">
        <f>VLOOKUP(A43,'임차비 산출내역'!$A$7:$P$43,13,FALSE)</f>
        <v>0</v>
      </c>
      <c r="L43" s="90"/>
      <c r="M43" s="81">
        <f t="shared" si="1"/>
        <v>0</v>
      </c>
      <c r="N43" s="81"/>
      <c r="O43" s="93"/>
    </row>
    <row r="44" spans="1:15">
      <c r="A44" s="78" t="s">
        <v>86</v>
      </c>
      <c r="B44" s="86">
        <v>0</v>
      </c>
      <c r="C44" s="79">
        <v>0</v>
      </c>
      <c r="D44" s="79">
        <v>0</v>
      </c>
      <c r="E44" s="79">
        <v>0</v>
      </c>
      <c r="F44" s="79">
        <v>0</v>
      </c>
      <c r="G44" s="81">
        <v>0</v>
      </c>
      <c r="H44" s="79">
        <v>0</v>
      </c>
      <c r="I44" s="79">
        <v>0</v>
      </c>
      <c r="J44" s="79">
        <v>0</v>
      </c>
      <c r="K44" s="90">
        <v>0</v>
      </c>
      <c r="L44" s="90"/>
      <c r="M44" s="81">
        <f t="shared" si="1"/>
        <v>0</v>
      </c>
      <c r="N44" s="81"/>
      <c r="O44" s="93"/>
    </row>
    <row r="45" spans="1:15">
      <c r="A45" s="78" t="s">
        <v>87</v>
      </c>
      <c r="B45" s="86">
        <v>0</v>
      </c>
      <c r="C45" s="79">
        <v>0</v>
      </c>
      <c r="D45" s="79">
        <v>0</v>
      </c>
      <c r="E45" s="79">
        <v>0</v>
      </c>
      <c r="F45" s="79">
        <v>0</v>
      </c>
      <c r="G45" s="81">
        <v>0</v>
      </c>
      <c r="H45" s="79">
        <v>0</v>
      </c>
      <c r="I45" s="79">
        <v>0</v>
      </c>
      <c r="J45" s="79">
        <v>0</v>
      </c>
      <c r="K45" s="90">
        <v>0</v>
      </c>
      <c r="L45" s="90"/>
      <c r="M45" s="81">
        <f t="shared" si="1"/>
        <v>0</v>
      </c>
      <c r="N45" s="81"/>
      <c r="O45" s="93"/>
    </row>
    <row r="46" spans="1:15">
      <c r="A46" s="78" t="s">
        <v>88</v>
      </c>
      <c r="B46" s="86">
        <v>0</v>
      </c>
      <c r="C46" s="79">
        <v>0</v>
      </c>
      <c r="D46" s="79">
        <v>0</v>
      </c>
      <c r="E46" s="79">
        <v>0</v>
      </c>
      <c r="F46" s="79">
        <v>0</v>
      </c>
      <c r="G46" s="81">
        <v>0</v>
      </c>
      <c r="H46" s="79">
        <v>0</v>
      </c>
      <c r="I46" s="79">
        <v>0</v>
      </c>
      <c r="J46" s="79">
        <v>0</v>
      </c>
      <c r="K46" s="90">
        <v>0</v>
      </c>
      <c r="L46" s="90"/>
      <c r="M46" s="81">
        <f t="shared" si="1"/>
        <v>0</v>
      </c>
      <c r="N46" s="81"/>
      <c r="O46" s="93"/>
    </row>
    <row r="47" spans="1:15">
      <c r="A47" s="82" t="s">
        <v>89</v>
      </c>
      <c r="B47" s="87">
        <v>0</v>
      </c>
      <c r="C47" s="83">
        <v>0</v>
      </c>
      <c r="D47" s="83">
        <v>0</v>
      </c>
      <c r="E47" s="83">
        <v>0</v>
      </c>
      <c r="F47" s="83">
        <v>0</v>
      </c>
      <c r="G47" s="84">
        <v>0</v>
      </c>
      <c r="H47" s="83">
        <v>0</v>
      </c>
      <c r="I47" s="83">
        <v>0</v>
      </c>
      <c r="J47" s="83">
        <v>0</v>
      </c>
      <c r="K47" s="91">
        <v>0</v>
      </c>
      <c r="L47" s="91"/>
      <c r="M47" s="84">
        <f t="shared" si="1"/>
        <v>0</v>
      </c>
      <c r="N47" s="84"/>
      <c r="O47" s="96"/>
    </row>
    <row r="48" spans="1:15">
      <c r="A48" s="8">
        <v>1</v>
      </c>
      <c r="B48" s="8">
        <v>2</v>
      </c>
      <c r="C48" s="8">
        <v>3</v>
      </c>
      <c r="D48" s="8">
        <v>4</v>
      </c>
      <c r="E48" s="8">
        <v>5</v>
      </c>
      <c r="F48" s="8">
        <v>6</v>
      </c>
      <c r="G48" s="8">
        <v>7</v>
      </c>
      <c r="H48" s="8">
        <v>8</v>
      </c>
      <c r="I48" s="8">
        <v>9</v>
      </c>
      <c r="J48" s="8">
        <v>10</v>
      </c>
      <c r="K48" s="8">
        <v>11</v>
      </c>
      <c r="L48" s="8">
        <v>12</v>
      </c>
      <c r="M48" s="8">
        <v>13</v>
      </c>
      <c r="N48" s="8">
        <v>14</v>
      </c>
      <c r="O48" s="8"/>
    </row>
  </sheetData>
  <mergeCells count="5">
    <mergeCell ref="A1:O1"/>
    <mergeCell ref="K3:N3"/>
    <mergeCell ref="A3:A4"/>
    <mergeCell ref="O3:O4"/>
    <mergeCell ref="B3:J3"/>
  </mergeCells>
  <phoneticPr fontId="5" type="noConversion"/>
  <printOptions horizontalCentered="1"/>
  <pageMargins left="0.39347222447395325" right="0.39347222447395325" top="0.35930556058883667" bottom="0.33833333849906921" header="0.39347222447395325" footer="0.39347222447395325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3"/>
  <sheetViews>
    <sheetView workbookViewId="0">
      <selection sqref="A1:H1"/>
    </sheetView>
  </sheetViews>
  <sheetFormatPr defaultRowHeight="13.5"/>
  <cols>
    <col min="1" max="1" width="9.77734375" style="13" customWidth="1"/>
    <col min="2" max="7" width="8.77734375" style="13" customWidth="1"/>
    <col min="8" max="8" width="20.77734375" style="13" customWidth="1"/>
    <col min="9" max="16384" width="8.88671875" style="13"/>
  </cols>
  <sheetData>
    <row r="1" spans="1:8" ht="32.1" customHeight="1">
      <c r="A1" s="268" t="s">
        <v>195</v>
      </c>
      <c r="B1" s="268"/>
      <c r="C1" s="268"/>
      <c r="D1" s="268"/>
      <c r="E1" s="268"/>
      <c r="F1" s="268"/>
      <c r="G1" s="268"/>
      <c r="H1" s="268"/>
    </row>
    <row r="2" spans="1:8" ht="15" customHeight="1" thickBot="1"/>
    <row r="3" spans="1:8" ht="27">
      <c r="A3" s="104" t="s">
        <v>171</v>
      </c>
      <c r="B3" s="105" t="s">
        <v>30</v>
      </c>
      <c r="C3" s="106" t="s">
        <v>146</v>
      </c>
      <c r="D3" s="107" t="s">
        <v>147</v>
      </c>
      <c r="E3" s="108" t="s">
        <v>148</v>
      </c>
      <c r="F3" s="109" t="s">
        <v>34</v>
      </c>
      <c r="G3" s="110" t="s">
        <v>172</v>
      </c>
      <c r="H3" s="182" t="s">
        <v>173</v>
      </c>
    </row>
    <row r="4" spans="1:8">
      <c r="A4" s="111" t="s">
        <v>174</v>
      </c>
      <c r="B4" s="112">
        <f>SUM(B5:B42)</f>
        <v>1847</v>
      </c>
      <c r="C4" s="113">
        <f t="shared" ref="C4:E4" si="0">SUM(C5:C42)</f>
        <v>235</v>
      </c>
      <c r="D4" s="113">
        <f t="shared" si="0"/>
        <v>371</v>
      </c>
      <c r="E4" s="114">
        <f t="shared" si="0"/>
        <v>23</v>
      </c>
      <c r="F4" s="183">
        <f>SUM(F5:F42)</f>
        <v>2476</v>
      </c>
      <c r="G4" s="115">
        <f>SUM(G5:G42)</f>
        <v>231</v>
      </c>
      <c r="H4" s="116"/>
    </row>
    <row r="5" spans="1:8">
      <c r="A5" s="117" t="s">
        <v>19</v>
      </c>
      <c r="B5" s="118">
        <v>83</v>
      </c>
      <c r="C5" s="119">
        <v>0</v>
      </c>
      <c r="D5" s="119">
        <v>20</v>
      </c>
      <c r="E5" s="120">
        <v>0</v>
      </c>
      <c r="F5" s="184">
        <f>SUM(B5:E5)</f>
        <v>103</v>
      </c>
      <c r="G5" s="121">
        <v>6</v>
      </c>
      <c r="H5" s="122"/>
    </row>
    <row r="6" spans="1:8">
      <c r="A6" s="117" t="s">
        <v>11</v>
      </c>
      <c r="B6" s="118">
        <v>62</v>
      </c>
      <c r="C6" s="119">
        <v>0</v>
      </c>
      <c r="D6" s="119">
        <v>7</v>
      </c>
      <c r="E6" s="120">
        <v>0</v>
      </c>
      <c r="F6" s="184">
        <f t="shared" ref="F6:F42" si="1">SUM(B6:E6)</f>
        <v>69</v>
      </c>
      <c r="G6" s="121">
        <v>8</v>
      </c>
      <c r="H6" s="122"/>
    </row>
    <row r="7" spans="1:8">
      <c r="A7" s="117" t="s">
        <v>33</v>
      </c>
      <c r="B7" s="118">
        <v>66</v>
      </c>
      <c r="C7" s="119">
        <v>0</v>
      </c>
      <c r="D7" s="119">
        <v>5</v>
      </c>
      <c r="E7" s="120">
        <v>0</v>
      </c>
      <c r="F7" s="184">
        <f t="shared" si="1"/>
        <v>71</v>
      </c>
      <c r="G7" s="121">
        <v>7</v>
      </c>
      <c r="H7" s="122"/>
    </row>
    <row r="8" spans="1:8">
      <c r="A8" s="117" t="s">
        <v>28</v>
      </c>
      <c r="B8" s="118">
        <v>104</v>
      </c>
      <c r="C8" s="119">
        <v>0</v>
      </c>
      <c r="D8" s="119">
        <v>13</v>
      </c>
      <c r="E8" s="120">
        <v>0</v>
      </c>
      <c r="F8" s="184">
        <f t="shared" si="1"/>
        <v>117</v>
      </c>
      <c r="G8" s="121">
        <v>11</v>
      </c>
      <c r="H8" s="122"/>
    </row>
    <row r="9" spans="1:8">
      <c r="A9" s="117" t="s">
        <v>59</v>
      </c>
      <c r="B9" s="118">
        <v>61</v>
      </c>
      <c r="C9" s="119">
        <v>0</v>
      </c>
      <c r="D9" s="119">
        <v>10</v>
      </c>
      <c r="E9" s="120">
        <v>0</v>
      </c>
      <c r="F9" s="184">
        <f t="shared" si="1"/>
        <v>71</v>
      </c>
      <c r="G9" s="121">
        <v>8</v>
      </c>
      <c r="H9" s="122"/>
    </row>
    <row r="10" spans="1:8">
      <c r="A10" s="117" t="s">
        <v>57</v>
      </c>
      <c r="B10" s="118">
        <v>63</v>
      </c>
      <c r="C10" s="119">
        <v>0</v>
      </c>
      <c r="D10" s="119">
        <v>7</v>
      </c>
      <c r="E10" s="120">
        <v>0</v>
      </c>
      <c r="F10" s="184">
        <f t="shared" si="1"/>
        <v>70</v>
      </c>
      <c r="G10" s="121">
        <v>6</v>
      </c>
      <c r="H10" s="122"/>
    </row>
    <row r="11" spans="1:8">
      <c r="A11" s="117" t="s">
        <v>53</v>
      </c>
      <c r="B11" s="118">
        <v>68</v>
      </c>
      <c r="C11" s="119">
        <v>0</v>
      </c>
      <c r="D11" s="119">
        <v>14</v>
      </c>
      <c r="E11" s="120">
        <v>0</v>
      </c>
      <c r="F11" s="184">
        <f t="shared" si="1"/>
        <v>82</v>
      </c>
      <c r="G11" s="121">
        <v>8</v>
      </c>
      <c r="H11" s="122"/>
    </row>
    <row r="12" spans="1:8">
      <c r="A12" s="117" t="s">
        <v>7</v>
      </c>
      <c r="B12" s="118">
        <v>90</v>
      </c>
      <c r="C12" s="119">
        <v>0</v>
      </c>
      <c r="D12" s="119">
        <v>22</v>
      </c>
      <c r="E12" s="120">
        <v>0</v>
      </c>
      <c r="F12" s="184">
        <f t="shared" si="1"/>
        <v>112</v>
      </c>
      <c r="G12" s="121">
        <v>10</v>
      </c>
      <c r="H12" s="122"/>
    </row>
    <row r="13" spans="1:8">
      <c r="A13" s="117" t="s">
        <v>25</v>
      </c>
      <c r="B13" s="118">
        <v>51</v>
      </c>
      <c r="C13" s="119">
        <v>0</v>
      </c>
      <c r="D13" s="119">
        <v>9</v>
      </c>
      <c r="E13" s="120">
        <v>0</v>
      </c>
      <c r="F13" s="184">
        <f t="shared" si="1"/>
        <v>60</v>
      </c>
      <c r="G13" s="121">
        <v>5</v>
      </c>
      <c r="H13" s="122"/>
    </row>
    <row r="14" spans="1:8">
      <c r="A14" s="117" t="s">
        <v>60</v>
      </c>
      <c r="B14" s="118">
        <v>50</v>
      </c>
      <c r="C14" s="119">
        <v>0</v>
      </c>
      <c r="D14" s="119">
        <v>6</v>
      </c>
      <c r="E14" s="120">
        <v>0</v>
      </c>
      <c r="F14" s="184">
        <f t="shared" si="1"/>
        <v>56</v>
      </c>
      <c r="G14" s="121">
        <v>7</v>
      </c>
      <c r="H14" s="122"/>
    </row>
    <row r="15" spans="1:8">
      <c r="A15" s="117" t="s">
        <v>15</v>
      </c>
      <c r="B15" s="118">
        <v>41</v>
      </c>
      <c r="C15" s="119">
        <v>0</v>
      </c>
      <c r="D15" s="119">
        <v>2</v>
      </c>
      <c r="E15" s="120">
        <v>0</v>
      </c>
      <c r="F15" s="184">
        <f t="shared" si="1"/>
        <v>43</v>
      </c>
      <c r="G15" s="121">
        <v>3</v>
      </c>
      <c r="H15" s="122"/>
    </row>
    <row r="16" spans="1:8">
      <c r="A16" s="123" t="s">
        <v>61</v>
      </c>
      <c r="B16" s="118">
        <v>34</v>
      </c>
      <c r="C16" s="119">
        <v>0</v>
      </c>
      <c r="D16" s="119">
        <v>2</v>
      </c>
      <c r="E16" s="120">
        <v>0</v>
      </c>
      <c r="F16" s="184">
        <f t="shared" si="1"/>
        <v>36</v>
      </c>
      <c r="G16" s="121">
        <v>4</v>
      </c>
      <c r="H16" s="122"/>
    </row>
    <row r="17" spans="1:8">
      <c r="A17" s="123" t="s">
        <v>64</v>
      </c>
      <c r="B17" s="118">
        <v>28</v>
      </c>
      <c r="C17" s="119">
        <v>10</v>
      </c>
      <c r="D17" s="119">
        <v>12</v>
      </c>
      <c r="E17" s="120">
        <v>0</v>
      </c>
      <c r="F17" s="184">
        <f t="shared" si="1"/>
        <v>50</v>
      </c>
      <c r="G17" s="121">
        <v>4</v>
      </c>
      <c r="H17" s="122"/>
    </row>
    <row r="18" spans="1:8">
      <c r="A18" s="123" t="s">
        <v>8</v>
      </c>
      <c r="B18" s="118">
        <v>24</v>
      </c>
      <c r="C18" s="119">
        <v>5</v>
      </c>
      <c r="D18" s="119">
        <v>16</v>
      </c>
      <c r="E18" s="120">
        <v>0</v>
      </c>
      <c r="F18" s="184">
        <f t="shared" si="1"/>
        <v>45</v>
      </c>
      <c r="G18" s="121">
        <v>6</v>
      </c>
      <c r="H18" s="122"/>
    </row>
    <row r="19" spans="1:8">
      <c r="A19" s="123" t="s">
        <v>6</v>
      </c>
      <c r="B19" s="118">
        <v>93</v>
      </c>
      <c r="C19" s="119">
        <v>13</v>
      </c>
      <c r="D19" s="119">
        <v>32</v>
      </c>
      <c r="E19" s="120">
        <v>0</v>
      </c>
      <c r="F19" s="184">
        <f t="shared" si="1"/>
        <v>138</v>
      </c>
      <c r="G19" s="121">
        <v>10</v>
      </c>
      <c r="H19" s="122"/>
    </row>
    <row r="20" spans="1:8" s="14" customFormat="1">
      <c r="A20" s="123" t="s">
        <v>39</v>
      </c>
      <c r="B20" s="118">
        <v>90</v>
      </c>
      <c r="C20" s="119">
        <v>7</v>
      </c>
      <c r="D20" s="119">
        <v>30</v>
      </c>
      <c r="E20" s="120">
        <v>0</v>
      </c>
      <c r="F20" s="184">
        <f t="shared" si="1"/>
        <v>127</v>
      </c>
      <c r="G20" s="121">
        <v>8</v>
      </c>
      <c r="H20" s="122"/>
    </row>
    <row r="21" spans="1:8">
      <c r="A21" s="123" t="s">
        <v>13</v>
      </c>
      <c r="B21" s="118">
        <v>35</v>
      </c>
      <c r="C21" s="119">
        <v>0</v>
      </c>
      <c r="D21" s="119">
        <v>8</v>
      </c>
      <c r="E21" s="120">
        <v>0</v>
      </c>
      <c r="F21" s="184">
        <f t="shared" si="1"/>
        <v>43</v>
      </c>
      <c r="G21" s="121">
        <v>5</v>
      </c>
      <c r="H21" s="122"/>
    </row>
    <row r="22" spans="1:8">
      <c r="A22" s="123" t="s">
        <v>29</v>
      </c>
      <c r="B22" s="118">
        <v>45</v>
      </c>
      <c r="C22" s="119">
        <v>1</v>
      </c>
      <c r="D22" s="119">
        <v>5</v>
      </c>
      <c r="E22" s="120">
        <v>0</v>
      </c>
      <c r="F22" s="184">
        <f t="shared" si="1"/>
        <v>51</v>
      </c>
      <c r="G22" s="121">
        <v>6</v>
      </c>
      <c r="H22" s="122"/>
    </row>
    <row r="23" spans="1:8">
      <c r="A23" s="123" t="s">
        <v>37</v>
      </c>
      <c r="B23" s="118">
        <v>76</v>
      </c>
      <c r="C23" s="119">
        <v>24</v>
      </c>
      <c r="D23" s="119">
        <v>13</v>
      </c>
      <c r="E23" s="120">
        <v>0</v>
      </c>
      <c r="F23" s="184">
        <f t="shared" si="1"/>
        <v>113</v>
      </c>
      <c r="G23" s="121">
        <v>11</v>
      </c>
      <c r="H23" s="122"/>
    </row>
    <row r="24" spans="1:8">
      <c r="A24" s="123" t="s">
        <v>2</v>
      </c>
      <c r="B24" s="118">
        <v>35</v>
      </c>
      <c r="C24" s="119">
        <v>4</v>
      </c>
      <c r="D24" s="119">
        <v>8</v>
      </c>
      <c r="E24" s="120">
        <v>1</v>
      </c>
      <c r="F24" s="184">
        <f t="shared" si="1"/>
        <v>48</v>
      </c>
      <c r="G24" s="121">
        <v>8</v>
      </c>
      <c r="H24" s="122"/>
    </row>
    <row r="25" spans="1:8">
      <c r="A25" s="123" t="s">
        <v>3</v>
      </c>
      <c r="B25" s="118">
        <v>112</v>
      </c>
      <c r="C25" s="119">
        <v>8</v>
      </c>
      <c r="D25" s="119">
        <v>18</v>
      </c>
      <c r="E25" s="120">
        <v>0</v>
      </c>
      <c r="F25" s="184">
        <f t="shared" si="1"/>
        <v>138</v>
      </c>
      <c r="G25" s="121">
        <v>7</v>
      </c>
      <c r="H25" s="122"/>
    </row>
    <row r="26" spans="1:8">
      <c r="A26" s="123" t="s">
        <v>5</v>
      </c>
      <c r="B26" s="118">
        <v>95</v>
      </c>
      <c r="C26" s="119">
        <v>15</v>
      </c>
      <c r="D26" s="119">
        <v>26</v>
      </c>
      <c r="E26" s="120">
        <v>0</v>
      </c>
      <c r="F26" s="184">
        <f t="shared" si="1"/>
        <v>136</v>
      </c>
      <c r="G26" s="121">
        <v>16</v>
      </c>
      <c r="H26" s="122"/>
    </row>
    <row r="27" spans="1:8">
      <c r="A27" s="123" t="s">
        <v>23</v>
      </c>
      <c r="B27" s="118">
        <v>52</v>
      </c>
      <c r="C27" s="119">
        <v>2</v>
      </c>
      <c r="D27" s="119">
        <v>28</v>
      </c>
      <c r="E27" s="120">
        <v>0</v>
      </c>
      <c r="F27" s="184">
        <f t="shared" si="1"/>
        <v>82</v>
      </c>
      <c r="G27" s="121">
        <v>10</v>
      </c>
      <c r="H27" s="122"/>
    </row>
    <row r="28" spans="1:8">
      <c r="A28" s="123" t="s">
        <v>40</v>
      </c>
      <c r="B28" s="118">
        <v>43</v>
      </c>
      <c r="C28" s="119">
        <v>8</v>
      </c>
      <c r="D28" s="119">
        <v>26</v>
      </c>
      <c r="E28" s="120">
        <v>1</v>
      </c>
      <c r="F28" s="184">
        <f t="shared" si="1"/>
        <v>78</v>
      </c>
      <c r="G28" s="121">
        <v>8</v>
      </c>
      <c r="H28" s="122"/>
    </row>
    <row r="29" spans="1:8">
      <c r="A29" s="123" t="s">
        <v>31</v>
      </c>
      <c r="B29" s="118">
        <v>35</v>
      </c>
      <c r="C29" s="119">
        <v>9</v>
      </c>
      <c r="D29" s="119">
        <v>5</v>
      </c>
      <c r="E29" s="120">
        <v>13</v>
      </c>
      <c r="F29" s="184">
        <f t="shared" si="1"/>
        <v>62</v>
      </c>
      <c r="G29" s="121">
        <v>3</v>
      </c>
      <c r="H29" s="122"/>
    </row>
    <row r="30" spans="1:8">
      <c r="A30" s="123" t="s">
        <v>4</v>
      </c>
      <c r="B30" s="118">
        <v>23</v>
      </c>
      <c r="C30" s="119">
        <v>12</v>
      </c>
      <c r="D30" s="119">
        <v>2</v>
      </c>
      <c r="E30" s="120">
        <v>0</v>
      </c>
      <c r="F30" s="184">
        <f t="shared" si="1"/>
        <v>37</v>
      </c>
      <c r="G30" s="121">
        <v>3</v>
      </c>
      <c r="H30" s="122"/>
    </row>
    <row r="31" spans="1:8">
      <c r="A31" s="123" t="s">
        <v>36</v>
      </c>
      <c r="B31" s="118">
        <v>22</v>
      </c>
      <c r="C31" s="119">
        <v>12</v>
      </c>
      <c r="D31" s="119">
        <v>1</v>
      </c>
      <c r="E31" s="120">
        <v>0</v>
      </c>
      <c r="F31" s="184">
        <f t="shared" si="1"/>
        <v>35</v>
      </c>
      <c r="G31" s="121">
        <v>4</v>
      </c>
      <c r="H31" s="122"/>
    </row>
    <row r="32" spans="1:8">
      <c r="A32" s="123" t="s">
        <v>18</v>
      </c>
      <c r="B32" s="118">
        <v>18</v>
      </c>
      <c r="C32" s="119">
        <v>7</v>
      </c>
      <c r="D32" s="119">
        <v>3</v>
      </c>
      <c r="E32" s="120">
        <v>2</v>
      </c>
      <c r="F32" s="184">
        <f t="shared" si="1"/>
        <v>30</v>
      </c>
      <c r="G32" s="121">
        <v>3</v>
      </c>
      <c r="H32" s="122"/>
    </row>
    <row r="33" spans="1:8">
      <c r="A33" s="123" t="s">
        <v>50</v>
      </c>
      <c r="B33" s="118">
        <v>44</v>
      </c>
      <c r="C33" s="119">
        <v>9</v>
      </c>
      <c r="D33" s="119">
        <v>2</v>
      </c>
      <c r="E33" s="120">
        <v>1</v>
      </c>
      <c r="F33" s="184">
        <f t="shared" si="1"/>
        <v>56</v>
      </c>
      <c r="G33" s="121">
        <v>7</v>
      </c>
      <c r="H33" s="122"/>
    </row>
    <row r="34" spans="1:8">
      <c r="A34" s="123" t="s">
        <v>24</v>
      </c>
      <c r="B34" s="118">
        <v>38</v>
      </c>
      <c r="C34" s="119">
        <v>13</v>
      </c>
      <c r="D34" s="119">
        <v>1</v>
      </c>
      <c r="E34" s="120">
        <v>0</v>
      </c>
      <c r="F34" s="184">
        <f t="shared" si="1"/>
        <v>52</v>
      </c>
      <c r="G34" s="121">
        <v>5</v>
      </c>
      <c r="H34" s="122"/>
    </row>
    <row r="35" spans="1:8">
      <c r="A35" s="123" t="s">
        <v>21</v>
      </c>
      <c r="B35" s="118">
        <v>31</v>
      </c>
      <c r="C35" s="119">
        <v>10</v>
      </c>
      <c r="D35" s="119">
        <v>6</v>
      </c>
      <c r="E35" s="120">
        <v>2</v>
      </c>
      <c r="F35" s="184">
        <f t="shared" si="1"/>
        <v>49</v>
      </c>
      <c r="G35" s="121">
        <v>3</v>
      </c>
      <c r="H35" s="122"/>
    </row>
    <row r="36" spans="1:8">
      <c r="A36" s="123" t="s">
        <v>1</v>
      </c>
      <c r="B36" s="118">
        <v>19</v>
      </c>
      <c r="C36" s="119">
        <v>7</v>
      </c>
      <c r="D36" s="119">
        <v>1</v>
      </c>
      <c r="E36" s="120">
        <v>0</v>
      </c>
      <c r="F36" s="184">
        <f t="shared" si="1"/>
        <v>27</v>
      </c>
      <c r="G36" s="121">
        <v>3</v>
      </c>
      <c r="H36" s="122"/>
    </row>
    <row r="37" spans="1:8">
      <c r="A37" s="123" t="s">
        <v>26</v>
      </c>
      <c r="B37" s="118">
        <v>10</v>
      </c>
      <c r="C37" s="119">
        <v>8</v>
      </c>
      <c r="D37" s="119">
        <v>2</v>
      </c>
      <c r="E37" s="120">
        <v>1</v>
      </c>
      <c r="F37" s="184">
        <f t="shared" si="1"/>
        <v>21</v>
      </c>
      <c r="G37" s="121">
        <v>3</v>
      </c>
      <c r="H37" s="122"/>
    </row>
    <row r="38" spans="1:8">
      <c r="A38" s="123" t="s">
        <v>16</v>
      </c>
      <c r="B38" s="118">
        <v>24</v>
      </c>
      <c r="C38" s="119">
        <v>7</v>
      </c>
      <c r="D38" s="119">
        <v>1</v>
      </c>
      <c r="E38" s="120">
        <v>0</v>
      </c>
      <c r="F38" s="184">
        <f t="shared" si="1"/>
        <v>32</v>
      </c>
      <c r="G38" s="121">
        <v>4</v>
      </c>
      <c r="H38" s="122"/>
    </row>
    <row r="39" spans="1:8">
      <c r="A39" s="123" t="s">
        <v>27</v>
      </c>
      <c r="B39" s="118">
        <v>27</v>
      </c>
      <c r="C39" s="119">
        <v>8</v>
      </c>
      <c r="D39" s="119">
        <v>2</v>
      </c>
      <c r="E39" s="120">
        <v>0</v>
      </c>
      <c r="F39" s="184">
        <f t="shared" si="1"/>
        <v>37</v>
      </c>
      <c r="G39" s="121">
        <v>3</v>
      </c>
      <c r="H39" s="122"/>
    </row>
    <row r="40" spans="1:8">
      <c r="A40" s="123" t="s">
        <v>10</v>
      </c>
      <c r="B40" s="118">
        <v>24</v>
      </c>
      <c r="C40" s="119">
        <v>7</v>
      </c>
      <c r="D40" s="119">
        <v>2</v>
      </c>
      <c r="E40" s="120">
        <v>0</v>
      </c>
      <c r="F40" s="184">
        <f t="shared" si="1"/>
        <v>33</v>
      </c>
      <c r="G40" s="121">
        <v>3</v>
      </c>
      <c r="H40" s="122"/>
    </row>
    <row r="41" spans="1:8">
      <c r="A41" s="123" t="s">
        <v>17</v>
      </c>
      <c r="B41" s="118">
        <v>19</v>
      </c>
      <c r="C41" s="119">
        <v>7</v>
      </c>
      <c r="D41" s="119">
        <v>1</v>
      </c>
      <c r="E41" s="120">
        <v>0</v>
      </c>
      <c r="F41" s="184">
        <f t="shared" si="1"/>
        <v>27</v>
      </c>
      <c r="G41" s="121">
        <v>3</v>
      </c>
      <c r="H41" s="122"/>
    </row>
    <row r="42" spans="1:8" ht="14.25" thickBot="1">
      <c r="A42" s="124" t="s">
        <v>38</v>
      </c>
      <c r="B42" s="125">
        <v>12</v>
      </c>
      <c r="C42" s="126">
        <v>22</v>
      </c>
      <c r="D42" s="126">
        <v>3</v>
      </c>
      <c r="E42" s="127">
        <v>2</v>
      </c>
      <c r="F42" s="185">
        <f t="shared" si="1"/>
        <v>39</v>
      </c>
      <c r="G42" s="128">
        <v>2</v>
      </c>
      <c r="H42" s="129"/>
    </row>
    <row r="43" spans="1:8">
      <c r="A43" s="103">
        <v>1</v>
      </c>
      <c r="B43" s="103">
        <v>2</v>
      </c>
      <c r="C43" s="103">
        <v>3</v>
      </c>
      <c r="D43" s="103">
        <v>4</v>
      </c>
      <c r="E43" s="103">
        <v>5</v>
      </c>
      <c r="F43" s="103">
        <v>6</v>
      </c>
      <c r="G43" s="103">
        <v>7</v>
      </c>
      <c r="H43" s="103"/>
    </row>
  </sheetData>
  <mergeCells count="1">
    <mergeCell ref="A1:H1"/>
  </mergeCells>
  <phoneticPr fontId="5" type="noConversion"/>
  <pageMargins left="0.74803149606299213" right="0.74803149606299213" top="0.98425196850393704" bottom="0.43307086614173229" header="0.51181102362204722" footer="0.51181102362204722"/>
  <pageSetup paperSize="9" scale="7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T45"/>
  <sheetViews>
    <sheetView workbookViewId="0">
      <selection activeCell="L19" sqref="L19"/>
    </sheetView>
  </sheetViews>
  <sheetFormatPr defaultRowHeight="13.5"/>
  <cols>
    <col min="1" max="1" width="9.77734375" style="11" customWidth="1"/>
    <col min="2" max="2" width="10.109375" style="6" bestFit="1" customWidth="1"/>
    <col min="3" max="11" width="8.77734375" style="6" customWidth="1"/>
    <col min="12" max="12" width="6.6640625" style="6" bestFit="1" customWidth="1"/>
    <col min="13" max="13" width="8.77734375" style="6" customWidth="1"/>
    <col min="14" max="14" width="7" style="6" bestFit="1" customWidth="1"/>
    <col min="15" max="15" width="6.21875" style="6" bestFit="1" customWidth="1"/>
    <col min="16" max="16" width="8.77734375" style="6" customWidth="1"/>
    <col min="17" max="17" width="8.88671875" style="6"/>
    <col min="18" max="18" width="4.44140625" style="6" bestFit="1" customWidth="1"/>
    <col min="19" max="19" width="4.6640625" style="6" bestFit="1" customWidth="1"/>
    <col min="20" max="20" width="4.44140625" style="6" bestFit="1" customWidth="1"/>
    <col min="21" max="16384" width="8.88671875" style="6"/>
  </cols>
  <sheetData>
    <row r="1" spans="1:20" ht="32.1" customHeight="1">
      <c r="A1" s="271" t="s">
        <v>194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</row>
    <row r="2" spans="1:20" ht="15" customHeight="1">
      <c r="H2" s="6">
        <f>F5/H5</f>
        <v>1.7183953084963062</v>
      </c>
    </row>
    <row r="3" spans="1:20">
      <c r="A3" s="269" t="s">
        <v>12</v>
      </c>
      <c r="B3" s="269" t="s">
        <v>124</v>
      </c>
      <c r="C3" s="272" t="s">
        <v>125</v>
      </c>
      <c r="D3" s="273"/>
      <c r="E3" s="273"/>
      <c r="F3" s="274"/>
      <c r="G3" s="272" t="s">
        <v>124</v>
      </c>
      <c r="H3" s="274"/>
      <c r="I3" s="269" t="s">
        <v>126</v>
      </c>
      <c r="J3" s="269" t="s">
        <v>127</v>
      </c>
      <c r="K3" s="269" t="s">
        <v>128</v>
      </c>
      <c r="L3" s="269" t="s">
        <v>136</v>
      </c>
      <c r="M3" s="269" t="s">
        <v>129</v>
      </c>
      <c r="N3" s="275" t="s">
        <v>206</v>
      </c>
      <c r="O3" s="275"/>
      <c r="P3" s="269" t="s">
        <v>130</v>
      </c>
    </row>
    <row r="4" spans="1:20" ht="27">
      <c r="A4" s="270"/>
      <c r="B4" s="270"/>
      <c r="C4" s="130" t="s">
        <v>175</v>
      </c>
      <c r="D4" s="130" t="s">
        <v>202</v>
      </c>
      <c r="E4" s="131" t="s">
        <v>34</v>
      </c>
      <c r="F4" s="131" t="s">
        <v>131</v>
      </c>
      <c r="G4" s="131" t="s">
        <v>132</v>
      </c>
      <c r="H4" s="131" t="s">
        <v>131</v>
      </c>
      <c r="I4" s="270"/>
      <c r="J4" s="270"/>
      <c r="K4" s="270"/>
      <c r="L4" s="270"/>
      <c r="M4" s="270"/>
      <c r="N4" s="205" t="s">
        <v>207</v>
      </c>
      <c r="O4" s="205" t="s">
        <v>208</v>
      </c>
      <c r="P4" s="270"/>
      <c r="R4" s="196" t="s">
        <v>134</v>
      </c>
      <c r="S4" s="196" t="s">
        <v>135</v>
      </c>
      <c r="T4" s="197" t="s">
        <v>203</v>
      </c>
    </row>
    <row r="5" spans="1:20">
      <c r="A5" s="132" t="s">
        <v>20</v>
      </c>
      <c r="B5" s="133">
        <f>SUM(B6:B43)</f>
        <v>35410227</v>
      </c>
      <c r="C5" s="133">
        <f t="shared" ref="C5:F5" si="0">SUM(C6:C43)</f>
        <v>1974284</v>
      </c>
      <c r="D5" s="133">
        <f t="shared" si="0"/>
        <v>2319031</v>
      </c>
      <c r="E5" s="133">
        <f t="shared" si="0"/>
        <v>4293315</v>
      </c>
      <c r="F5" s="133">
        <f t="shared" si="0"/>
        <v>195153</v>
      </c>
      <c r="G5" s="133">
        <f>SUM(G6:G43)</f>
        <v>31116912</v>
      </c>
      <c r="H5" s="133">
        <f>SUM(H6:H43)</f>
        <v>113567</v>
      </c>
      <c r="I5" s="133">
        <f t="shared" ref="I5:M5" si="1">SUM(I6:I43)</f>
        <v>81586</v>
      </c>
      <c r="J5" s="133">
        <f t="shared" si="1"/>
        <v>203.96500000000003</v>
      </c>
      <c r="K5" s="133">
        <f t="shared" si="1"/>
        <v>81600</v>
      </c>
      <c r="L5" s="133">
        <f t="shared" si="1"/>
        <v>5300</v>
      </c>
      <c r="M5" s="133">
        <f t="shared" si="1"/>
        <v>76300</v>
      </c>
      <c r="N5" s="133">
        <f t="shared" ref="N5" si="2">SUM(N7:N43)</f>
        <v>71850</v>
      </c>
      <c r="O5" s="133"/>
      <c r="P5" s="133">
        <f>SUM(P7:P43)</f>
        <v>-7020</v>
      </c>
      <c r="R5" s="195">
        <v>1</v>
      </c>
      <c r="S5" s="29">
        <v>23</v>
      </c>
      <c r="T5" s="29">
        <v>10</v>
      </c>
    </row>
    <row r="6" spans="1:20">
      <c r="A6" s="134" t="s">
        <v>19</v>
      </c>
      <c r="B6" s="135">
        <f>VLOOKUP(A6,물량!$A$3:$D$40,2,FALSE)</f>
        <v>1773120</v>
      </c>
      <c r="C6" s="135">
        <f>VLOOKUP(A6,물량!$A$3:$D$40,3,FALSE)</f>
        <v>101447</v>
      </c>
      <c r="D6" s="135">
        <f>VLOOKUP(A6,물량!$A$3:$D$40,4,FALSE)</f>
        <v>119040</v>
      </c>
      <c r="E6" s="135">
        <f t="shared" ref="E6:E43" si="3">SUM(C6:D6)</f>
        <v>220487</v>
      </c>
      <c r="F6" s="135">
        <f t="shared" ref="F6:F43" si="4">ROUND(E6/$T$17,0)</f>
        <v>10022</v>
      </c>
      <c r="G6" s="135">
        <f>B6-E6</f>
        <v>1552633</v>
      </c>
      <c r="H6" s="135">
        <f t="shared" ref="H6:H43" si="5">ROUND(G6/$S$18,0)</f>
        <v>5667</v>
      </c>
      <c r="I6" s="135">
        <f t="shared" ref="I6" si="6">F6-H6</f>
        <v>4355</v>
      </c>
      <c r="J6" s="136">
        <f>I6/200/2</f>
        <v>10.887499999999999</v>
      </c>
      <c r="K6" s="137">
        <f>ROUND(J6*80*5,-2)</f>
        <v>4400</v>
      </c>
      <c r="L6" s="135">
        <f t="shared" ref="L6" si="7">IF(J6&lt;2,K6,0)</f>
        <v>0</v>
      </c>
      <c r="M6" s="135">
        <f t="shared" ref="M6" si="8">K6-L6</f>
        <v>4400</v>
      </c>
      <c r="N6" s="135">
        <f>임차비!J6</f>
        <v>3500</v>
      </c>
      <c r="O6" s="135"/>
      <c r="P6" s="135">
        <f>M6-N6-O6</f>
        <v>900</v>
      </c>
      <c r="R6" s="195">
        <v>2</v>
      </c>
      <c r="S6" s="29">
        <v>24</v>
      </c>
      <c r="T6" s="29"/>
    </row>
    <row r="7" spans="1:20">
      <c r="A7" s="138" t="s">
        <v>11</v>
      </c>
      <c r="B7" s="139">
        <f>VLOOKUP(A7,물량!$A$4:$D$40,2,FALSE)</f>
        <v>766694</v>
      </c>
      <c r="C7" s="139">
        <f>VLOOKUP(A7,물량!$A$4:$D$40,3,FALSE)</f>
        <v>45127</v>
      </c>
      <c r="D7" s="139">
        <f>VLOOKUP(A7,물량!$A$4:$D$40,4,FALSE)</f>
        <v>52298</v>
      </c>
      <c r="E7" s="139">
        <f t="shared" si="3"/>
        <v>97425</v>
      </c>
      <c r="F7" s="139">
        <f t="shared" si="4"/>
        <v>4428</v>
      </c>
      <c r="G7" s="139">
        <f t="shared" ref="G7:G43" si="9">B7-E7</f>
        <v>669269</v>
      </c>
      <c r="H7" s="139">
        <f t="shared" si="5"/>
        <v>2443</v>
      </c>
      <c r="I7" s="139">
        <f t="shared" ref="I7:I43" si="10">F7-H7</f>
        <v>1985</v>
      </c>
      <c r="J7" s="140">
        <f t="shared" ref="J7:J43" si="11">I7/200/2</f>
        <v>4.9625000000000004</v>
      </c>
      <c r="K7" s="203">
        <f t="shared" ref="K7:K43" si="12">ROUND(J7*80*5,-2)</f>
        <v>2000</v>
      </c>
      <c r="L7" s="139">
        <f>IF(J7&lt;2,K7,0)</f>
        <v>0</v>
      </c>
      <c r="M7" s="139">
        <f t="shared" ref="M7:M43" si="13">K7-L7</f>
        <v>2000</v>
      </c>
      <c r="N7" s="139">
        <f>임차비!J7</f>
        <v>2960</v>
      </c>
      <c r="O7" s="139"/>
      <c r="P7" s="139">
        <f t="shared" ref="P7:P43" si="14">M7-N7-O7</f>
        <v>-960</v>
      </c>
      <c r="R7" s="195">
        <v>3</v>
      </c>
      <c r="S7" s="29">
        <v>26</v>
      </c>
      <c r="T7" s="29"/>
    </row>
    <row r="8" spans="1:20">
      <c r="A8" s="138" t="s">
        <v>33</v>
      </c>
      <c r="B8" s="139">
        <f>VLOOKUP(A8,물량!$A$4:$D$40,2,FALSE)</f>
        <v>1152186</v>
      </c>
      <c r="C8" s="139">
        <f>VLOOKUP(A8,물량!$A$4:$D$40,3,FALSE)</f>
        <v>68930</v>
      </c>
      <c r="D8" s="139">
        <f>VLOOKUP(A8,물량!$A$4:$D$40,4,FALSE)</f>
        <v>81512</v>
      </c>
      <c r="E8" s="139">
        <f t="shared" si="3"/>
        <v>150442</v>
      </c>
      <c r="F8" s="139">
        <f t="shared" si="4"/>
        <v>6838</v>
      </c>
      <c r="G8" s="139">
        <f t="shared" si="9"/>
        <v>1001744</v>
      </c>
      <c r="H8" s="139">
        <f t="shared" si="5"/>
        <v>3656</v>
      </c>
      <c r="I8" s="139">
        <f t="shared" si="10"/>
        <v>3182</v>
      </c>
      <c r="J8" s="140">
        <f t="shared" si="11"/>
        <v>7.9550000000000001</v>
      </c>
      <c r="K8" s="203">
        <f t="shared" si="12"/>
        <v>3200</v>
      </c>
      <c r="L8" s="139">
        <v>0</v>
      </c>
      <c r="M8" s="139">
        <f t="shared" si="13"/>
        <v>3200</v>
      </c>
      <c r="N8" s="139">
        <f>임차비!J8</f>
        <v>3600</v>
      </c>
      <c r="O8" s="139"/>
      <c r="P8" s="139">
        <f t="shared" si="14"/>
        <v>-400</v>
      </c>
      <c r="R8" s="195">
        <v>4</v>
      </c>
      <c r="S8" s="29">
        <v>25</v>
      </c>
      <c r="T8" s="29"/>
    </row>
    <row r="9" spans="1:20">
      <c r="A9" s="138" t="s">
        <v>28</v>
      </c>
      <c r="B9" s="139">
        <f>VLOOKUP(A9,물량!$A$4:$D$40,2,FALSE)</f>
        <v>2048243</v>
      </c>
      <c r="C9" s="139">
        <f>VLOOKUP(A9,물량!$A$4:$D$40,3,FALSE)</f>
        <v>119371</v>
      </c>
      <c r="D9" s="139">
        <f>VLOOKUP(A9,물량!$A$4:$D$40,4,FALSE)</f>
        <v>139278</v>
      </c>
      <c r="E9" s="139">
        <f t="shared" si="3"/>
        <v>258649</v>
      </c>
      <c r="F9" s="139">
        <f t="shared" si="4"/>
        <v>11757</v>
      </c>
      <c r="G9" s="139">
        <f t="shared" si="9"/>
        <v>1789594</v>
      </c>
      <c r="H9" s="139">
        <f t="shared" si="5"/>
        <v>6531</v>
      </c>
      <c r="I9" s="139">
        <f t="shared" si="10"/>
        <v>5226</v>
      </c>
      <c r="J9" s="140">
        <f t="shared" si="11"/>
        <v>13.065</v>
      </c>
      <c r="K9" s="203">
        <f t="shared" si="12"/>
        <v>5200</v>
      </c>
      <c r="L9" s="139">
        <v>0</v>
      </c>
      <c r="M9" s="139">
        <f t="shared" si="13"/>
        <v>5200</v>
      </c>
      <c r="N9" s="139">
        <f>임차비!J9</f>
        <v>4300</v>
      </c>
      <c r="O9" s="139"/>
      <c r="P9" s="139">
        <f t="shared" si="14"/>
        <v>900</v>
      </c>
      <c r="R9" s="195">
        <v>5</v>
      </c>
      <c r="S9" s="29">
        <v>25</v>
      </c>
      <c r="T9" s="29"/>
    </row>
    <row r="10" spans="1:20">
      <c r="A10" s="138" t="s">
        <v>59</v>
      </c>
      <c r="B10" s="139">
        <f>VLOOKUP(A10,물량!$A$4:$D$40,2,FALSE)</f>
        <v>1037853</v>
      </c>
      <c r="C10" s="139">
        <f>VLOOKUP(A10,물량!$A$4:$D$40,3,FALSE)</f>
        <v>58417</v>
      </c>
      <c r="D10" s="139">
        <f>VLOOKUP(A10,물량!$A$4:$D$40,4,FALSE)</f>
        <v>68897</v>
      </c>
      <c r="E10" s="139">
        <f t="shared" si="3"/>
        <v>127314</v>
      </c>
      <c r="F10" s="139">
        <f t="shared" si="4"/>
        <v>5787</v>
      </c>
      <c r="G10" s="139">
        <f t="shared" si="9"/>
        <v>910539</v>
      </c>
      <c r="H10" s="139">
        <f t="shared" si="5"/>
        <v>3323</v>
      </c>
      <c r="I10" s="139">
        <f t="shared" si="10"/>
        <v>2464</v>
      </c>
      <c r="J10" s="140">
        <f t="shared" si="11"/>
        <v>6.16</v>
      </c>
      <c r="K10" s="203">
        <f t="shared" si="12"/>
        <v>2500</v>
      </c>
      <c r="L10" s="139">
        <f t="shared" ref="L10:L36" si="15">IF(J10&lt;2,K10,0)</f>
        <v>0</v>
      </c>
      <c r="M10" s="139">
        <f t="shared" si="13"/>
        <v>2500</v>
      </c>
      <c r="N10" s="139">
        <f>임차비!J10</f>
        <v>2100</v>
      </c>
      <c r="O10" s="139"/>
      <c r="P10" s="139">
        <f t="shared" si="14"/>
        <v>400</v>
      </c>
      <c r="R10" s="195">
        <v>6</v>
      </c>
      <c r="S10" s="29">
        <v>25</v>
      </c>
      <c r="T10" s="29"/>
    </row>
    <row r="11" spans="1:20">
      <c r="A11" s="138" t="s">
        <v>57</v>
      </c>
      <c r="B11" s="139">
        <f>VLOOKUP(A11,물량!$A$4:$D$40,2,FALSE)</f>
        <v>1155567</v>
      </c>
      <c r="C11" s="139">
        <f>VLOOKUP(A11,물량!$A$4:$D$40,3,FALSE)</f>
        <v>66112</v>
      </c>
      <c r="D11" s="139">
        <f>VLOOKUP(A11,물량!$A$4:$D$40,4,FALSE)</f>
        <v>77520</v>
      </c>
      <c r="E11" s="139">
        <f t="shared" si="3"/>
        <v>143632</v>
      </c>
      <c r="F11" s="139">
        <f t="shared" si="4"/>
        <v>6529</v>
      </c>
      <c r="G11" s="139">
        <f t="shared" si="9"/>
        <v>1011935</v>
      </c>
      <c r="H11" s="139">
        <f t="shared" si="5"/>
        <v>3693</v>
      </c>
      <c r="I11" s="139">
        <f t="shared" si="10"/>
        <v>2836</v>
      </c>
      <c r="J11" s="140">
        <f t="shared" si="11"/>
        <v>7.09</v>
      </c>
      <c r="K11" s="203">
        <f t="shared" si="12"/>
        <v>2800</v>
      </c>
      <c r="L11" s="139">
        <f t="shared" si="15"/>
        <v>0</v>
      </c>
      <c r="M11" s="139">
        <f t="shared" si="13"/>
        <v>2800</v>
      </c>
      <c r="N11" s="139">
        <f>임차비!J11</f>
        <v>2400</v>
      </c>
      <c r="O11" s="139"/>
      <c r="P11" s="139">
        <f t="shared" si="14"/>
        <v>400</v>
      </c>
      <c r="R11" s="195">
        <v>7</v>
      </c>
      <c r="S11" s="29">
        <v>26</v>
      </c>
      <c r="T11" s="29"/>
    </row>
    <row r="12" spans="1:20">
      <c r="A12" s="138" t="s">
        <v>53</v>
      </c>
      <c r="B12" s="139">
        <f>VLOOKUP(A12,물량!$A$4:$D$40,2,FALSE)</f>
        <v>1252626</v>
      </c>
      <c r="C12" s="139">
        <f>VLOOKUP(A12,물량!$A$4:$D$40,3,FALSE)</f>
        <v>68285</v>
      </c>
      <c r="D12" s="139">
        <f>VLOOKUP(A12,물량!$A$4:$D$40,4,FALSE)</f>
        <v>82387</v>
      </c>
      <c r="E12" s="139">
        <f t="shared" si="3"/>
        <v>150672</v>
      </c>
      <c r="F12" s="139">
        <f t="shared" si="4"/>
        <v>6849</v>
      </c>
      <c r="G12" s="139">
        <f t="shared" si="9"/>
        <v>1101954</v>
      </c>
      <c r="H12" s="139">
        <f t="shared" si="5"/>
        <v>4022</v>
      </c>
      <c r="I12" s="139">
        <f t="shared" si="10"/>
        <v>2827</v>
      </c>
      <c r="J12" s="140">
        <f t="shared" si="11"/>
        <v>7.0674999999999999</v>
      </c>
      <c r="K12" s="203">
        <f t="shared" si="12"/>
        <v>2800</v>
      </c>
      <c r="L12" s="139">
        <v>0</v>
      </c>
      <c r="M12" s="139">
        <f t="shared" si="13"/>
        <v>2800</v>
      </c>
      <c r="N12" s="139">
        <f>임차비!J12</f>
        <v>2800</v>
      </c>
      <c r="O12" s="139">
        <v>1640</v>
      </c>
      <c r="P12" s="139">
        <f t="shared" si="14"/>
        <v>-1640</v>
      </c>
      <c r="R12" s="195">
        <v>8</v>
      </c>
      <c r="S12" s="29">
        <v>26</v>
      </c>
      <c r="T12" s="29"/>
    </row>
    <row r="13" spans="1:20">
      <c r="A13" s="138" t="s">
        <v>7</v>
      </c>
      <c r="B13" s="139">
        <f>VLOOKUP(A13,물량!$A$4:$D$40,2,FALSE)</f>
        <v>2077925</v>
      </c>
      <c r="C13" s="139">
        <f>VLOOKUP(A13,물량!$A$4:$D$40,3,FALSE)</f>
        <v>126314</v>
      </c>
      <c r="D13" s="139">
        <f>VLOOKUP(A13,물량!$A$4:$D$40,4,FALSE)</f>
        <v>142301</v>
      </c>
      <c r="E13" s="139">
        <f t="shared" si="3"/>
        <v>268615</v>
      </c>
      <c r="F13" s="139">
        <f t="shared" si="4"/>
        <v>12210</v>
      </c>
      <c r="G13" s="139">
        <f t="shared" si="9"/>
        <v>1809310</v>
      </c>
      <c r="H13" s="139">
        <f t="shared" si="5"/>
        <v>6603</v>
      </c>
      <c r="I13" s="139">
        <f t="shared" si="10"/>
        <v>5607</v>
      </c>
      <c r="J13" s="140">
        <f t="shared" si="11"/>
        <v>14.0175</v>
      </c>
      <c r="K13" s="203">
        <f t="shared" si="12"/>
        <v>5600</v>
      </c>
      <c r="L13" s="139">
        <f t="shared" si="15"/>
        <v>0</v>
      </c>
      <c r="M13" s="139">
        <f t="shared" si="13"/>
        <v>5600</v>
      </c>
      <c r="N13" s="139">
        <f>임차비!J13</f>
        <v>6390</v>
      </c>
      <c r="O13" s="139">
        <v>2000</v>
      </c>
      <c r="P13" s="139">
        <f t="shared" si="14"/>
        <v>-2790</v>
      </c>
      <c r="R13" s="195">
        <v>9</v>
      </c>
      <c r="S13" s="29">
        <v>26</v>
      </c>
      <c r="T13" s="29">
        <v>12</v>
      </c>
    </row>
    <row r="14" spans="1:20">
      <c r="A14" s="138" t="s">
        <v>25</v>
      </c>
      <c r="B14" s="139">
        <f>VLOOKUP(A14,물량!$A$4:$D$40,2,FALSE)</f>
        <v>1114390</v>
      </c>
      <c r="C14" s="139">
        <f>VLOOKUP(A14,물량!$A$4:$D$40,3,FALSE)</f>
        <v>63253</v>
      </c>
      <c r="D14" s="139">
        <f>VLOOKUP(A14,물량!$A$4:$D$40,4,FALSE)</f>
        <v>71602</v>
      </c>
      <c r="E14" s="139">
        <f t="shared" si="3"/>
        <v>134855</v>
      </c>
      <c r="F14" s="139">
        <f t="shared" si="4"/>
        <v>6130</v>
      </c>
      <c r="G14" s="139">
        <f t="shared" si="9"/>
        <v>979535</v>
      </c>
      <c r="H14" s="139">
        <f t="shared" si="5"/>
        <v>3575</v>
      </c>
      <c r="I14" s="139">
        <f t="shared" si="10"/>
        <v>2555</v>
      </c>
      <c r="J14" s="140">
        <f t="shared" si="11"/>
        <v>6.3875000000000002</v>
      </c>
      <c r="K14" s="203">
        <f t="shared" si="12"/>
        <v>2600</v>
      </c>
      <c r="L14" s="139">
        <f t="shared" si="15"/>
        <v>0</v>
      </c>
      <c r="M14" s="139">
        <f t="shared" si="13"/>
        <v>2600</v>
      </c>
      <c r="N14" s="139">
        <f>임차비!J14</f>
        <v>2900</v>
      </c>
      <c r="O14" s="139"/>
      <c r="P14" s="139">
        <f t="shared" si="14"/>
        <v>-300</v>
      </c>
      <c r="R14" s="195">
        <v>10</v>
      </c>
      <c r="S14" s="29">
        <v>19</v>
      </c>
      <c r="T14" s="29"/>
    </row>
    <row r="15" spans="1:20">
      <c r="A15" s="138" t="s">
        <v>60</v>
      </c>
      <c r="B15" s="139">
        <f>VLOOKUP(A15,물량!$A$4:$D$40,2,FALSE)</f>
        <v>981628</v>
      </c>
      <c r="C15" s="139">
        <f>VLOOKUP(A15,물량!$A$4:$D$40,3,FALSE)</f>
        <v>59051</v>
      </c>
      <c r="D15" s="139">
        <f>VLOOKUP(A15,물량!$A$4:$D$40,4,FALSE)</f>
        <v>67087</v>
      </c>
      <c r="E15" s="139">
        <f t="shared" si="3"/>
        <v>126138</v>
      </c>
      <c r="F15" s="139">
        <f t="shared" si="4"/>
        <v>5734</v>
      </c>
      <c r="G15" s="139">
        <f t="shared" si="9"/>
        <v>855490</v>
      </c>
      <c r="H15" s="139">
        <f t="shared" si="5"/>
        <v>3122</v>
      </c>
      <c r="I15" s="139">
        <f t="shared" si="10"/>
        <v>2612</v>
      </c>
      <c r="J15" s="140">
        <f t="shared" si="11"/>
        <v>6.53</v>
      </c>
      <c r="K15" s="203">
        <f t="shared" si="12"/>
        <v>2600</v>
      </c>
      <c r="L15" s="139">
        <f t="shared" si="15"/>
        <v>0</v>
      </c>
      <c r="M15" s="139">
        <f t="shared" si="13"/>
        <v>2600</v>
      </c>
      <c r="N15" s="139">
        <f>임차비!J15</f>
        <v>2100</v>
      </c>
      <c r="O15" s="139">
        <v>630</v>
      </c>
      <c r="P15" s="139">
        <f t="shared" si="14"/>
        <v>-130</v>
      </c>
      <c r="R15" s="195">
        <v>11</v>
      </c>
      <c r="S15" s="29">
        <v>26</v>
      </c>
      <c r="T15" s="29"/>
    </row>
    <row r="16" spans="1:20">
      <c r="A16" s="138" t="s">
        <v>15</v>
      </c>
      <c r="B16" s="139">
        <f>VLOOKUP(A16,물량!$A$4:$D$40,2,FALSE)</f>
        <v>500145</v>
      </c>
      <c r="C16" s="139">
        <f>VLOOKUP(A16,물량!$A$4:$D$40,3,FALSE)</f>
        <v>27449</v>
      </c>
      <c r="D16" s="139">
        <f>VLOOKUP(A16,물량!$A$4:$D$40,4,FALSE)</f>
        <v>32417</v>
      </c>
      <c r="E16" s="139">
        <f t="shared" si="3"/>
        <v>59866</v>
      </c>
      <c r="F16" s="139">
        <f t="shared" si="4"/>
        <v>2721</v>
      </c>
      <c r="G16" s="139">
        <f t="shared" si="9"/>
        <v>440279</v>
      </c>
      <c r="H16" s="139">
        <f t="shared" si="5"/>
        <v>1607</v>
      </c>
      <c r="I16" s="139">
        <f t="shared" si="10"/>
        <v>1114</v>
      </c>
      <c r="J16" s="140">
        <f t="shared" si="11"/>
        <v>2.7850000000000001</v>
      </c>
      <c r="K16" s="203">
        <f t="shared" si="12"/>
        <v>1100</v>
      </c>
      <c r="L16" s="139">
        <v>0</v>
      </c>
      <c r="M16" s="139">
        <f t="shared" si="13"/>
        <v>1100</v>
      </c>
      <c r="N16" s="139">
        <f>임차비!J16</f>
        <v>1200</v>
      </c>
      <c r="O16" s="139"/>
      <c r="P16" s="139">
        <f t="shared" si="14"/>
        <v>-100</v>
      </c>
      <c r="R16" s="195">
        <v>12</v>
      </c>
      <c r="S16" s="29">
        <v>25</v>
      </c>
      <c r="T16" s="29"/>
    </row>
    <row r="17" spans="1:20">
      <c r="A17" s="138" t="s">
        <v>61</v>
      </c>
      <c r="B17" s="139">
        <f>VLOOKUP(A17,물량!$A$4:$D$40,2,FALSE)</f>
        <v>428710</v>
      </c>
      <c r="C17" s="139">
        <f>VLOOKUP(A17,물량!$A$4:$D$40,3,FALSE)</f>
        <v>25393</v>
      </c>
      <c r="D17" s="139">
        <f>VLOOKUP(A17,물량!$A$4:$D$40,4,FALSE)</f>
        <v>29378</v>
      </c>
      <c r="E17" s="139">
        <f t="shared" si="3"/>
        <v>54771</v>
      </c>
      <c r="F17" s="139">
        <f t="shared" si="4"/>
        <v>2490</v>
      </c>
      <c r="G17" s="139">
        <f t="shared" si="9"/>
        <v>373939</v>
      </c>
      <c r="H17" s="139">
        <f t="shared" si="5"/>
        <v>1365</v>
      </c>
      <c r="I17" s="139">
        <f t="shared" si="10"/>
        <v>1125</v>
      </c>
      <c r="J17" s="140">
        <f t="shared" si="11"/>
        <v>2.8125</v>
      </c>
      <c r="K17" s="203">
        <f t="shared" si="12"/>
        <v>1100</v>
      </c>
      <c r="L17" s="139">
        <f t="shared" si="15"/>
        <v>0</v>
      </c>
      <c r="M17" s="139">
        <f t="shared" si="13"/>
        <v>1100</v>
      </c>
      <c r="N17" s="139">
        <f>임차비!J17</f>
        <v>1000</v>
      </c>
      <c r="O17" s="139"/>
      <c r="P17" s="139">
        <f t="shared" si="14"/>
        <v>100</v>
      </c>
      <c r="R17" s="195" t="s">
        <v>196</v>
      </c>
      <c r="S17" s="29">
        <f>SUM(S5:S16)</f>
        <v>296</v>
      </c>
      <c r="T17" s="29">
        <f>SUM(T5:T16)</f>
        <v>22</v>
      </c>
    </row>
    <row r="18" spans="1:20">
      <c r="A18" s="138" t="s">
        <v>6</v>
      </c>
      <c r="B18" s="139">
        <f>VLOOKUP(A18,물량!$A$4:$D$40,2,FALSE)</f>
        <v>2393543</v>
      </c>
      <c r="C18" s="139">
        <f>VLOOKUP(A18,물량!$A$4:$D$40,3,FALSE)</f>
        <v>122737</v>
      </c>
      <c r="D18" s="139">
        <f>VLOOKUP(A18,물량!$A$4:$D$40,4,FALSE)</f>
        <v>145399</v>
      </c>
      <c r="E18" s="139">
        <f t="shared" si="3"/>
        <v>268136</v>
      </c>
      <c r="F18" s="139">
        <f t="shared" si="4"/>
        <v>12188</v>
      </c>
      <c r="G18" s="139">
        <f t="shared" si="9"/>
        <v>2125407</v>
      </c>
      <c r="H18" s="139">
        <f t="shared" si="5"/>
        <v>7757</v>
      </c>
      <c r="I18" s="139">
        <f t="shared" si="10"/>
        <v>4431</v>
      </c>
      <c r="J18" s="140">
        <f t="shared" si="11"/>
        <v>11.077500000000001</v>
      </c>
      <c r="K18" s="203">
        <f t="shared" si="12"/>
        <v>4400</v>
      </c>
      <c r="L18" s="139">
        <f t="shared" si="15"/>
        <v>0</v>
      </c>
      <c r="M18" s="139">
        <f t="shared" si="13"/>
        <v>4400</v>
      </c>
      <c r="N18" s="139">
        <f>임차비!J18</f>
        <v>3600</v>
      </c>
      <c r="O18" s="139">
        <v>1700</v>
      </c>
      <c r="P18" s="139">
        <f t="shared" si="14"/>
        <v>-900</v>
      </c>
      <c r="R18" s="194"/>
      <c r="S18" s="6">
        <f>S17-T17</f>
        <v>274</v>
      </c>
      <c r="T18" s="194"/>
    </row>
    <row r="19" spans="1:20">
      <c r="A19" s="138" t="s">
        <v>39</v>
      </c>
      <c r="B19" s="139">
        <f>VLOOKUP(A19,물량!$A$4:$D$40,2,FALSE)</f>
        <v>2122750</v>
      </c>
      <c r="C19" s="139">
        <f>VLOOKUP(A19,물량!$A$4:$D$40,3,FALSE)</f>
        <v>110568</v>
      </c>
      <c r="D19" s="139">
        <f>VLOOKUP(A19,물량!$A$4:$D$40,4,FALSE)</f>
        <v>131402</v>
      </c>
      <c r="E19" s="139">
        <f t="shared" si="3"/>
        <v>241970</v>
      </c>
      <c r="F19" s="139">
        <f t="shared" si="4"/>
        <v>10999</v>
      </c>
      <c r="G19" s="139">
        <f t="shared" si="9"/>
        <v>1880780</v>
      </c>
      <c r="H19" s="139">
        <f t="shared" si="5"/>
        <v>6864</v>
      </c>
      <c r="I19" s="139">
        <f t="shared" si="10"/>
        <v>4135</v>
      </c>
      <c r="J19" s="140">
        <f t="shared" si="11"/>
        <v>10.3375</v>
      </c>
      <c r="K19" s="203">
        <f t="shared" si="12"/>
        <v>4100</v>
      </c>
      <c r="L19" s="139">
        <v>0</v>
      </c>
      <c r="M19" s="139">
        <f t="shared" si="13"/>
        <v>4100</v>
      </c>
      <c r="N19" s="139">
        <f>임차비!J19</f>
        <v>3900</v>
      </c>
      <c r="O19" s="139"/>
      <c r="P19" s="139">
        <f t="shared" si="14"/>
        <v>200</v>
      </c>
      <c r="R19" s="194"/>
      <c r="S19" s="194"/>
      <c r="T19" s="194"/>
    </row>
    <row r="20" spans="1:20">
      <c r="A20" s="138" t="s">
        <v>29</v>
      </c>
      <c r="B20" s="139">
        <f>VLOOKUP(A20,물량!$A$4:$D$40,2,FALSE)</f>
        <v>762081</v>
      </c>
      <c r="C20" s="139">
        <f>VLOOKUP(A20,물량!$A$4:$D$40,3,FALSE)</f>
        <v>43869</v>
      </c>
      <c r="D20" s="139">
        <f>VLOOKUP(A20,물량!$A$4:$D$40,4,FALSE)</f>
        <v>50050</v>
      </c>
      <c r="E20" s="139">
        <f t="shared" si="3"/>
        <v>93919</v>
      </c>
      <c r="F20" s="139">
        <f t="shared" si="4"/>
        <v>4269</v>
      </c>
      <c r="G20" s="139">
        <f t="shared" si="9"/>
        <v>668162</v>
      </c>
      <c r="H20" s="139">
        <f t="shared" si="5"/>
        <v>2439</v>
      </c>
      <c r="I20" s="139">
        <f t="shared" si="10"/>
        <v>1830</v>
      </c>
      <c r="J20" s="140">
        <f t="shared" si="11"/>
        <v>4.5750000000000002</v>
      </c>
      <c r="K20" s="203">
        <f t="shared" si="12"/>
        <v>1800</v>
      </c>
      <c r="L20" s="139">
        <v>0</v>
      </c>
      <c r="M20" s="139">
        <f t="shared" si="13"/>
        <v>1800</v>
      </c>
      <c r="N20" s="139">
        <f>임차비!J20</f>
        <v>2000</v>
      </c>
      <c r="O20" s="139"/>
      <c r="P20" s="139">
        <f t="shared" si="14"/>
        <v>-200</v>
      </c>
      <c r="R20" s="194"/>
      <c r="S20" s="194"/>
      <c r="T20" s="194"/>
    </row>
    <row r="21" spans="1:20">
      <c r="A21" s="138" t="s">
        <v>37</v>
      </c>
      <c r="B21" s="139">
        <f>VLOOKUP(A21,물량!$A$4:$D$40,2,FALSE)</f>
        <v>1604105</v>
      </c>
      <c r="C21" s="139">
        <f>VLOOKUP(A21,물량!$A$4:$D$40,3,FALSE)</f>
        <v>91453</v>
      </c>
      <c r="D21" s="139">
        <f>VLOOKUP(A21,물량!$A$4:$D$40,4,FALSE)</f>
        <v>107130</v>
      </c>
      <c r="E21" s="139">
        <f t="shared" si="3"/>
        <v>198583</v>
      </c>
      <c r="F21" s="139">
        <f t="shared" si="4"/>
        <v>9027</v>
      </c>
      <c r="G21" s="139">
        <f t="shared" si="9"/>
        <v>1405522</v>
      </c>
      <c r="H21" s="139">
        <f t="shared" si="5"/>
        <v>5130</v>
      </c>
      <c r="I21" s="139">
        <f t="shared" si="10"/>
        <v>3897</v>
      </c>
      <c r="J21" s="140">
        <f t="shared" si="11"/>
        <v>9.7424999999999997</v>
      </c>
      <c r="K21" s="203">
        <f t="shared" si="12"/>
        <v>3900</v>
      </c>
      <c r="L21" s="139">
        <f t="shared" si="15"/>
        <v>0</v>
      </c>
      <c r="M21" s="139">
        <f t="shared" si="13"/>
        <v>3900</v>
      </c>
      <c r="N21" s="139">
        <f>임차비!J21</f>
        <v>3300</v>
      </c>
      <c r="O21" s="139">
        <v>500</v>
      </c>
      <c r="P21" s="139">
        <f t="shared" si="14"/>
        <v>100</v>
      </c>
      <c r="R21" s="194"/>
      <c r="S21" s="194"/>
      <c r="T21" s="194"/>
    </row>
    <row r="22" spans="1:20">
      <c r="A22" s="138" t="s">
        <v>2</v>
      </c>
      <c r="B22" s="139">
        <f>VLOOKUP(A22,물량!$A$4:$D$40,2,FALSE)</f>
        <v>832992</v>
      </c>
      <c r="C22" s="139">
        <f>VLOOKUP(A22,물량!$A$4:$D$40,3,FALSE)</f>
        <v>41754</v>
      </c>
      <c r="D22" s="139">
        <f>VLOOKUP(A22,물량!$A$4:$D$40,4,FALSE)</f>
        <v>48718</v>
      </c>
      <c r="E22" s="139">
        <f t="shared" si="3"/>
        <v>90472</v>
      </c>
      <c r="F22" s="139">
        <f t="shared" si="4"/>
        <v>4112</v>
      </c>
      <c r="G22" s="139">
        <f t="shared" si="9"/>
        <v>742520</v>
      </c>
      <c r="H22" s="139">
        <f t="shared" si="5"/>
        <v>2710</v>
      </c>
      <c r="I22" s="139">
        <f t="shared" si="10"/>
        <v>1402</v>
      </c>
      <c r="J22" s="140">
        <f t="shared" si="11"/>
        <v>3.5049999999999999</v>
      </c>
      <c r="K22" s="203">
        <f t="shared" si="12"/>
        <v>1400</v>
      </c>
      <c r="L22" s="139">
        <f t="shared" si="15"/>
        <v>0</v>
      </c>
      <c r="M22" s="139">
        <f t="shared" si="13"/>
        <v>1400</v>
      </c>
      <c r="N22" s="139">
        <f>임차비!J22</f>
        <v>1200</v>
      </c>
      <c r="O22" s="139"/>
      <c r="P22" s="139">
        <f t="shared" si="14"/>
        <v>200</v>
      </c>
      <c r="R22" s="194"/>
      <c r="S22" s="194"/>
      <c r="T22" s="194"/>
    </row>
    <row r="23" spans="1:20">
      <c r="A23" s="138" t="s">
        <v>3</v>
      </c>
      <c r="B23" s="139">
        <f>VLOOKUP(A23,물량!$A$4:$D$40,2,FALSE)</f>
        <v>2222894</v>
      </c>
      <c r="C23" s="139">
        <f>VLOOKUP(A23,물량!$A$4:$D$40,3,FALSE)</f>
        <v>121620</v>
      </c>
      <c r="D23" s="139">
        <f>VLOOKUP(A23,물량!$A$4:$D$40,4,FALSE)</f>
        <v>142694</v>
      </c>
      <c r="E23" s="139">
        <f t="shared" si="3"/>
        <v>264314</v>
      </c>
      <c r="F23" s="139">
        <f t="shared" si="4"/>
        <v>12014</v>
      </c>
      <c r="G23" s="139">
        <f t="shared" si="9"/>
        <v>1958580</v>
      </c>
      <c r="H23" s="139">
        <f t="shared" si="5"/>
        <v>7148</v>
      </c>
      <c r="I23" s="139">
        <f t="shared" si="10"/>
        <v>4866</v>
      </c>
      <c r="J23" s="140">
        <f t="shared" si="11"/>
        <v>12.164999999999999</v>
      </c>
      <c r="K23" s="203">
        <f t="shared" si="12"/>
        <v>4900</v>
      </c>
      <c r="L23" s="139">
        <f t="shared" si="15"/>
        <v>0</v>
      </c>
      <c r="M23" s="139">
        <f t="shared" si="13"/>
        <v>4900</v>
      </c>
      <c r="N23" s="139">
        <f>임차비!J23</f>
        <v>4100</v>
      </c>
      <c r="O23" s="139"/>
      <c r="P23" s="139">
        <f t="shared" si="14"/>
        <v>800</v>
      </c>
      <c r="R23" s="194"/>
      <c r="S23" s="194"/>
      <c r="T23" s="194"/>
    </row>
    <row r="24" spans="1:20">
      <c r="A24" s="138" t="s">
        <v>5</v>
      </c>
      <c r="B24" s="139">
        <f>VLOOKUP(A24,물량!$A$4:$D$40,2,FALSE)</f>
        <v>2328100</v>
      </c>
      <c r="C24" s="139">
        <f>VLOOKUP(A24,물량!$A$4:$D$40,3,FALSE)</f>
        <v>122959</v>
      </c>
      <c r="D24" s="139">
        <f>VLOOKUP(A24,물량!$A$4:$D$40,4,FALSE)</f>
        <v>149872</v>
      </c>
      <c r="E24" s="139">
        <f t="shared" si="3"/>
        <v>272831</v>
      </c>
      <c r="F24" s="139">
        <f t="shared" si="4"/>
        <v>12401</v>
      </c>
      <c r="G24" s="139">
        <f t="shared" si="9"/>
        <v>2055269</v>
      </c>
      <c r="H24" s="139">
        <f t="shared" si="5"/>
        <v>7501</v>
      </c>
      <c r="I24" s="139">
        <f t="shared" si="10"/>
        <v>4900</v>
      </c>
      <c r="J24" s="140">
        <f t="shared" si="11"/>
        <v>12.25</v>
      </c>
      <c r="K24" s="203">
        <f t="shared" si="12"/>
        <v>4900</v>
      </c>
      <c r="L24" s="139">
        <f t="shared" si="15"/>
        <v>0</v>
      </c>
      <c r="M24" s="139">
        <f t="shared" si="13"/>
        <v>4900</v>
      </c>
      <c r="N24" s="139">
        <f>임차비!J24</f>
        <v>4000</v>
      </c>
      <c r="O24" s="139"/>
      <c r="P24" s="139">
        <f t="shared" si="14"/>
        <v>900</v>
      </c>
      <c r="R24" s="194"/>
      <c r="S24" s="194"/>
      <c r="T24" s="194"/>
    </row>
    <row r="25" spans="1:20">
      <c r="A25" s="138" t="s">
        <v>23</v>
      </c>
      <c r="B25" s="139">
        <f>VLOOKUP(A25,물량!$A$4:$D$40,2,FALSE)</f>
        <v>1403596</v>
      </c>
      <c r="C25" s="139">
        <f>VLOOKUP(A25,물량!$A$4:$D$40,3,FALSE)</f>
        <v>71149</v>
      </c>
      <c r="D25" s="139">
        <f>VLOOKUP(A25,물량!$A$4:$D$40,4,FALSE)</f>
        <v>88754</v>
      </c>
      <c r="E25" s="139">
        <f t="shared" si="3"/>
        <v>159903</v>
      </c>
      <c r="F25" s="139">
        <f t="shared" si="4"/>
        <v>7268</v>
      </c>
      <c r="G25" s="139">
        <f t="shared" si="9"/>
        <v>1243693</v>
      </c>
      <c r="H25" s="139">
        <f t="shared" si="5"/>
        <v>4539</v>
      </c>
      <c r="I25" s="139">
        <f t="shared" si="10"/>
        <v>2729</v>
      </c>
      <c r="J25" s="140">
        <f t="shared" si="11"/>
        <v>6.8224999999999998</v>
      </c>
      <c r="K25" s="203">
        <f t="shared" si="12"/>
        <v>2700</v>
      </c>
      <c r="L25" s="139">
        <f t="shared" si="15"/>
        <v>0</v>
      </c>
      <c r="M25" s="139">
        <f t="shared" si="13"/>
        <v>2700</v>
      </c>
      <c r="N25" s="139">
        <f>임차비!J25</f>
        <v>2100</v>
      </c>
      <c r="O25" s="139"/>
      <c r="P25" s="139">
        <f t="shared" si="14"/>
        <v>600</v>
      </c>
      <c r="R25" s="194"/>
      <c r="S25" s="194"/>
      <c r="T25" s="194"/>
    </row>
    <row r="26" spans="1:20">
      <c r="A26" s="138" t="s">
        <v>40</v>
      </c>
      <c r="B26" s="139">
        <f>VLOOKUP(A26,물량!$A$4:$D$40,2,FALSE)</f>
        <v>1242767</v>
      </c>
      <c r="C26" s="139">
        <f>VLOOKUP(A26,물량!$A$4:$D$40,3,FALSE)</f>
        <v>58657</v>
      </c>
      <c r="D26" s="139">
        <f>VLOOKUP(A26,물량!$A$4:$D$40,4,FALSE)</f>
        <v>67266</v>
      </c>
      <c r="E26" s="139">
        <f t="shared" si="3"/>
        <v>125923</v>
      </c>
      <c r="F26" s="139">
        <f t="shared" si="4"/>
        <v>5724</v>
      </c>
      <c r="G26" s="139">
        <f t="shared" si="9"/>
        <v>1116844</v>
      </c>
      <c r="H26" s="139">
        <f t="shared" si="5"/>
        <v>4076</v>
      </c>
      <c r="I26" s="139">
        <f t="shared" si="10"/>
        <v>1648</v>
      </c>
      <c r="J26" s="140">
        <f t="shared" si="11"/>
        <v>4.12</v>
      </c>
      <c r="K26" s="203">
        <f t="shared" si="12"/>
        <v>1600</v>
      </c>
      <c r="L26" s="139">
        <v>0</v>
      </c>
      <c r="M26" s="139">
        <f t="shared" si="13"/>
        <v>1600</v>
      </c>
      <c r="N26" s="139">
        <f>임차비!J26</f>
        <v>2600</v>
      </c>
      <c r="O26" s="139"/>
      <c r="P26" s="139">
        <f t="shared" si="14"/>
        <v>-1000</v>
      </c>
      <c r="R26" s="194"/>
      <c r="S26" s="194"/>
      <c r="T26" s="194"/>
    </row>
    <row r="27" spans="1:20">
      <c r="A27" s="138" t="s">
        <v>31</v>
      </c>
      <c r="B27" s="139">
        <f>VLOOKUP(A27,물량!$A$4:$D$40,2,FALSE)</f>
        <v>561402</v>
      </c>
      <c r="C27" s="139">
        <f>VLOOKUP(A27,물량!$A$4:$D$40,3,FALSE)</f>
        <v>29023</v>
      </c>
      <c r="D27" s="139">
        <f>VLOOKUP(A27,물량!$A$4:$D$40,4,FALSE)</f>
        <v>33218</v>
      </c>
      <c r="E27" s="139">
        <f t="shared" si="3"/>
        <v>62241</v>
      </c>
      <c r="F27" s="139">
        <f t="shared" si="4"/>
        <v>2829</v>
      </c>
      <c r="G27" s="139">
        <f t="shared" si="9"/>
        <v>499161</v>
      </c>
      <c r="H27" s="139">
        <f t="shared" si="5"/>
        <v>1822</v>
      </c>
      <c r="I27" s="139">
        <f t="shared" si="10"/>
        <v>1007</v>
      </c>
      <c r="J27" s="140">
        <f t="shared" si="11"/>
        <v>2.5175000000000001</v>
      </c>
      <c r="K27" s="203">
        <f t="shared" si="12"/>
        <v>1000</v>
      </c>
      <c r="L27" s="139">
        <f t="shared" si="15"/>
        <v>0</v>
      </c>
      <c r="M27" s="139">
        <f t="shared" si="13"/>
        <v>1000</v>
      </c>
      <c r="N27" s="139">
        <f>임차비!J27</f>
        <v>900</v>
      </c>
      <c r="O27" s="139"/>
      <c r="P27" s="139">
        <f t="shared" si="14"/>
        <v>100</v>
      </c>
      <c r="R27" s="194"/>
      <c r="S27" s="194"/>
      <c r="T27" s="194"/>
    </row>
    <row r="28" spans="1:20">
      <c r="A28" s="138" t="s">
        <v>64</v>
      </c>
      <c r="B28" s="139">
        <f>VLOOKUP(A28,물량!$A$4:$D$40,2,FALSE)</f>
        <v>795872</v>
      </c>
      <c r="C28" s="139">
        <f>VLOOKUP(A28,물량!$A$4:$D$40,3,FALSE)</f>
        <v>41101</v>
      </c>
      <c r="D28" s="139">
        <f>VLOOKUP(A28,물량!$A$4:$D$40,4,FALSE)</f>
        <v>56992</v>
      </c>
      <c r="E28" s="139">
        <f t="shared" si="3"/>
        <v>98093</v>
      </c>
      <c r="F28" s="139">
        <f t="shared" si="4"/>
        <v>4459</v>
      </c>
      <c r="G28" s="139">
        <f t="shared" si="9"/>
        <v>697779</v>
      </c>
      <c r="H28" s="139">
        <f t="shared" si="5"/>
        <v>2547</v>
      </c>
      <c r="I28" s="139">
        <f t="shared" si="10"/>
        <v>1912</v>
      </c>
      <c r="J28" s="140">
        <f t="shared" si="11"/>
        <v>4.78</v>
      </c>
      <c r="K28" s="203">
        <f t="shared" si="12"/>
        <v>1900</v>
      </c>
      <c r="L28" s="139">
        <f t="shared" si="15"/>
        <v>0</v>
      </c>
      <c r="M28" s="139">
        <f t="shared" si="13"/>
        <v>1900</v>
      </c>
      <c r="N28" s="139">
        <f>임차비!J28</f>
        <v>1400</v>
      </c>
      <c r="O28" s="139"/>
      <c r="P28" s="139">
        <f t="shared" si="14"/>
        <v>500</v>
      </c>
      <c r="R28" s="194"/>
      <c r="S28" s="194"/>
      <c r="T28" s="194"/>
    </row>
    <row r="29" spans="1:20">
      <c r="A29" s="138" t="s">
        <v>8</v>
      </c>
      <c r="B29" s="139">
        <f>VLOOKUP(A29,물량!$A$4:$D$40,2,FALSE)</f>
        <v>699429</v>
      </c>
      <c r="C29" s="139">
        <f>VLOOKUP(A29,물량!$A$4:$D$40,3,FALSE)</f>
        <v>35709</v>
      </c>
      <c r="D29" s="139">
        <f>VLOOKUP(A29,물량!$A$4:$D$40,4,FALSE)</f>
        <v>42993</v>
      </c>
      <c r="E29" s="139">
        <f t="shared" si="3"/>
        <v>78702</v>
      </c>
      <c r="F29" s="139">
        <f t="shared" si="4"/>
        <v>3577</v>
      </c>
      <c r="G29" s="139">
        <f t="shared" si="9"/>
        <v>620727</v>
      </c>
      <c r="H29" s="139">
        <f t="shared" si="5"/>
        <v>2265</v>
      </c>
      <c r="I29" s="139">
        <f t="shared" si="10"/>
        <v>1312</v>
      </c>
      <c r="J29" s="140">
        <f t="shared" si="11"/>
        <v>3.28</v>
      </c>
      <c r="K29" s="203">
        <f t="shared" si="12"/>
        <v>1300</v>
      </c>
      <c r="L29" s="139">
        <v>0</v>
      </c>
      <c r="M29" s="139">
        <f t="shared" si="13"/>
        <v>1300</v>
      </c>
      <c r="N29" s="139">
        <f>임차비!J29</f>
        <v>1400</v>
      </c>
      <c r="O29" s="139">
        <v>600</v>
      </c>
      <c r="P29" s="139">
        <f t="shared" si="14"/>
        <v>-700</v>
      </c>
      <c r="R29" s="194"/>
      <c r="S29" s="194"/>
      <c r="T29" s="194"/>
    </row>
    <row r="30" spans="1:20">
      <c r="A30" s="138" t="s">
        <v>13</v>
      </c>
      <c r="B30" s="139">
        <f>VLOOKUP(A30,물량!$A$4:$D$40,2,FALSE)</f>
        <v>770673</v>
      </c>
      <c r="C30" s="139">
        <f>VLOOKUP(A30,물량!$A$4:$D$40,3,FALSE)</f>
        <v>38535</v>
      </c>
      <c r="D30" s="139">
        <f>VLOOKUP(A30,물량!$A$4:$D$40,4,FALSE)</f>
        <v>44616</v>
      </c>
      <c r="E30" s="139">
        <f t="shared" si="3"/>
        <v>83151</v>
      </c>
      <c r="F30" s="139">
        <f t="shared" si="4"/>
        <v>3780</v>
      </c>
      <c r="G30" s="139">
        <f t="shared" si="9"/>
        <v>687522</v>
      </c>
      <c r="H30" s="139">
        <f t="shared" si="5"/>
        <v>2509</v>
      </c>
      <c r="I30" s="139">
        <f t="shared" si="10"/>
        <v>1271</v>
      </c>
      <c r="J30" s="140">
        <f t="shared" si="11"/>
        <v>3.1775000000000002</v>
      </c>
      <c r="K30" s="203">
        <f t="shared" si="12"/>
        <v>1300</v>
      </c>
      <c r="L30" s="139">
        <v>0</v>
      </c>
      <c r="M30" s="139">
        <f t="shared" si="13"/>
        <v>1300</v>
      </c>
      <c r="N30" s="139">
        <f>임차비!J30</f>
        <v>2000</v>
      </c>
      <c r="O30" s="139"/>
      <c r="P30" s="139">
        <f t="shared" si="14"/>
        <v>-700</v>
      </c>
      <c r="R30" s="194"/>
      <c r="S30" s="194"/>
      <c r="T30" s="194"/>
    </row>
    <row r="31" spans="1:20">
      <c r="A31" s="138" t="s">
        <v>4</v>
      </c>
      <c r="B31" s="139">
        <f>VLOOKUP(A31,물량!$A$4:$D$40,2,FALSE)</f>
        <v>242712</v>
      </c>
      <c r="C31" s="139">
        <f>VLOOKUP(A31,물량!$A$4:$D$40,3,FALSE)</f>
        <v>15183</v>
      </c>
      <c r="D31" s="139">
        <f>VLOOKUP(A31,물량!$A$4:$D$40,4,FALSE)</f>
        <v>18163</v>
      </c>
      <c r="E31" s="139">
        <f t="shared" si="3"/>
        <v>33346</v>
      </c>
      <c r="F31" s="139">
        <f t="shared" si="4"/>
        <v>1516</v>
      </c>
      <c r="G31" s="139">
        <f t="shared" si="9"/>
        <v>209366</v>
      </c>
      <c r="H31" s="139">
        <f t="shared" si="5"/>
        <v>764</v>
      </c>
      <c r="I31" s="139">
        <f t="shared" si="10"/>
        <v>752</v>
      </c>
      <c r="J31" s="140">
        <f t="shared" si="11"/>
        <v>1.88</v>
      </c>
      <c r="K31" s="203">
        <f t="shared" si="12"/>
        <v>800</v>
      </c>
      <c r="L31" s="139">
        <v>800</v>
      </c>
      <c r="M31" s="139">
        <f t="shared" si="13"/>
        <v>0</v>
      </c>
      <c r="N31" s="139">
        <f>임차비!J31</f>
        <v>1700</v>
      </c>
      <c r="O31" s="139"/>
      <c r="P31" s="139">
        <f t="shared" si="14"/>
        <v>-1700</v>
      </c>
      <c r="R31" s="194"/>
      <c r="S31" s="194"/>
      <c r="T31" s="194"/>
    </row>
    <row r="32" spans="1:20">
      <c r="A32" s="138" t="s">
        <v>36</v>
      </c>
      <c r="B32" s="139">
        <f>VLOOKUP(A32,물량!$A$4:$D$40,2,FALSE)</f>
        <v>192827</v>
      </c>
      <c r="C32" s="139">
        <f>VLOOKUP(A32,물량!$A$4:$D$40,3,FALSE)</f>
        <v>13819</v>
      </c>
      <c r="D32" s="139">
        <f>VLOOKUP(A32,물량!$A$4:$D$40,4,FALSE)</f>
        <v>14898</v>
      </c>
      <c r="E32" s="139">
        <f t="shared" si="3"/>
        <v>28717</v>
      </c>
      <c r="F32" s="139">
        <f t="shared" si="4"/>
        <v>1305</v>
      </c>
      <c r="G32" s="139">
        <f t="shared" si="9"/>
        <v>164110</v>
      </c>
      <c r="H32" s="139">
        <f t="shared" si="5"/>
        <v>599</v>
      </c>
      <c r="I32" s="139">
        <f t="shared" si="10"/>
        <v>706</v>
      </c>
      <c r="J32" s="140">
        <f t="shared" si="11"/>
        <v>1.7649999999999999</v>
      </c>
      <c r="K32" s="203">
        <f t="shared" si="12"/>
        <v>700</v>
      </c>
      <c r="L32" s="139">
        <v>700</v>
      </c>
      <c r="M32" s="139">
        <f t="shared" si="13"/>
        <v>0</v>
      </c>
      <c r="N32" s="139">
        <f>임차비!J32</f>
        <v>0</v>
      </c>
      <c r="O32" s="139"/>
      <c r="P32" s="139">
        <f t="shared" si="14"/>
        <v>0</v>
      </c>
    </row>
    <row r="33" spans="1:16">
      <c r="A33" s="138" t="s">
        <v>18</v>
      </c>
      <c r="B33" s="139">
        <f>VLOOKUP(A33,물량!$A$4:$D$40,2,FALSE)</f>
        <v>183352</v>
      </c>
      <c r="C33" s="139">
        <f>VLOOKUP(A33,물량!$A$4:$D$40,3,FALSE)</f>
        <v>11284</v>
      </c>
      <c r="D33" s="139">
        <f>VLOOKUP(A33,물량!$A$4:$D$40,4,FALSE)</f>
        <v>14211</v>
      </c>
      <c r="E33" s="139">
        <f t="shared" si="3"/>
        <v>25495</v>
      </c>
      <c r="F33" s="139">
        <f t="shared" si="4"/>
        <v>1159</v>
      </c>
      <c r="G33" s="139">
        <f t="shared" si="9"/>
        <v>157857</v>
      </c>
      <c r="H33" s="139">
        <f t="shared" si="5"/>
        <v>576</v>
      </c>
      <c r="I33" s="139">
        <f t="shared" si="10"/>
        <v>583</v>
      </c>
      <c r="J33" s="140">
        <f t="shared" si="11"/>
        <v>1.4575</v>
      </c>
      <c r="K33" s="203">
        <f t="shared" si="12"/>
        <v>600</v>
      </c>
      <c r="L33" s="139">
        <v>600</v>
      </c>
      <c r="M33" s="139">
        <f t="shared" si="13"/>
        <v>0</v>
      </c>
      <c r="N33" s="139">
        <f>임차비!J33</f>
        <v>0</v>
      </c>
      <c r="O33" s="139"/>
      <c r="P33" s="139">
        <f t="shared" si="14"/>
        <v>0</v>
      </c>
    </row>
    <row r="34" spans="1:16">
      <c r="A34" s="138" t="s">
        <v>50</v>
      </c>
      <c r="B34" s="139">
        <f>VLOOKUP(A34,물량!$A$4:$D$40,2,FALSE)</f>
        <v>712065</v>
      </c>
      <c r="C34" s="139">
        <f>VLOOKUP(A34,물량!$A$4:$D$40,3,FALSE)</f>
        <v>39430</v>
      </c>
      <c r="D34" s="139">
        <f>VLOOKUP(A34,물량!$A$4:$D$40,4,FALSE)</f>
        <v>45047</v>
      </c>
      <c r="E34" s="139">
        <f t="shared" si="3"/>
        <v>84477</v>
      </c>
      <c r="F34" s="139">
        <f t="shared" si="4"/>
        <v>3840</v>
      </c>
      <c r="G34" s="139">
        <f t="shared" si="9"/>
        <v>627588</v>
      </c>
      <c r="H34" s="139">
        <f t="shared" si="5"/>
        <v>2290</v>
      </c>
      <c r="I34" s="139">
        <f t="shared" si="10"/>
        <v>1550</v>
      </c>
      <c r="J34" s="140">
        <f t="shared" si="11"/>
        <v>3.875</v>
      </c>
      <c r="K34" s="203">
        <f t="shared" si="12"/>
        <v>1600</v>
      </c>
      <c r="L34" s="139">
        <f t="shared" si="15"/>
        <v>0</v>
      </c>
      <c r="M34" s="139">
        <f t="shared" si="13"/>
        <v>1600</v>
      </c>
      <c r="N34" s="139">
        <f>임차비!J34</f>
        <v>1400</v>
      </c>
      <c r="O34" s="139"/>
      <c r="P34" s="139">
        <f t="shared" si="14"/>
        <v>200</v>
      </c>
    </row>
    <row r="35" spans="1:16">
      <c r="A35" s="138" t="s">
        <v>24</v>
      </c>
      <c r="B35" s="139">
        <f>VLOOKUP(A35,물량!$A$4:$D$40,2,FALSE)</f>
        <v>375044</v>
      </c>
      <c r="C35" s="139">
        <f>VLOOKUP(A35,물량!$A$4:$D$40,3,FALSE)</f>
        <v>23558</v>
      </c>
      <c r="D35" s="139">
        <f>VLOOKUP(A35,물량!$A$4:$D$40,4,FALSE)</f>
        <v>27823</v>
      </c>
      <c r="E35" s="139">
        <f t="shared" si="3"/>
        <v>51381</v>
      </c>
      <c r="F35" s="139">
        <f t="shared" si="4"/>
        <v>2336</v>
      </c>
      <c r="G35" s="139">
        <f t="shared" si="9"/>
        <v>323663</v>
      </c>
      <c r="H35" s="139">
        <f t="shared" si="5"/>
        <v>1181</v>
      </c>
      <c r="I35" s="139">
        <f t="shared" si="10"/>
        <v>1155</v>
      </c>
      <c r="J35" s="140">
        <f t="shared" si="11"/>
        <v>2.8875000000000002</v>
      </c>
      <c r="K35" s="203">
        <f t="shared" si="12"/>
        <v>1200</v>
      </c>
      <c r="L35" s="139">
        <f t="shared" si="15"/>
        <v>0</v>
      </c>
      <c r="M35" s="139">
        <f t="shared" si="13"/>
        <v>1200</v>
      </c>
      <c r="N35" s="139">
        <f>임차비!J35</f>
        <v>1700</v>
      </c>
      <c r="O35" s="139"/>
      <c r="P35" s="139">
        <f t="shared" si="14"/>
        <v>-500</v>
      </c>
    </row>
    <row r="36" spans="1:16">
      <c r="A36" s="138" t="s">
        <v>21</v>
      </c>
      <c r="B36" s="139">
        <f>VLOOKUP(A36,물량!$A$4:$D$40,2,FALSE)</f>
        <v>469639</v>
      </c>
      <c r="C36" s="139">
        <f>VLOOKUP(A36,물량!$A$4:$D$40,3,FALSE)</f>
        <v>25726</v>
      </c>
      <c r="D36" s="139">
        <f>VLOOKUP(A36,물량!$A$4:$D$40,4,FALSE)</f>
        <v>29991</v>
      </c>
      <c r="E36" s="139">
        <f t="shared" si="3"/>
        <v>55717</v>
      </c>
      <c r="F36" s="139">
        <f t="shared" si="4"/>
        <v>2533</v>
      </c>
      <c r="G36" s="139">
        <f t="shared" si="9"/>
        <v>413922</v>
      </c>
      <c r="H36" s="139">
        <f t="shared" si="5"/>
        <v>1511</v>
      </c>
      <c r="I36" s="139">
        <f t="shared" si="10"/>
        <v>1022</v>
      </c>
      <c r="J36" s="140">
        <f t="shared" si="11"/>
        <v>2.5550000000000002</v>
      </c>
      <c r="K36" s="203">
        <f t="shared" si="12"/>
        <v>1000</v>
      </c>
      <c r="L36" s="139">
        <f t="shared" si="15"/>
        <v>0</v>
      </c>
      <c r="M36" s="139">
        <f t="shared" si="13"/>
        <v>1000</v>
      </c>
      <c r="N36" s="139">
        <f>임차비!J36</f>
        <v>900</v>
      </c>
      <c r="O36" s="139"/>
      <c r="P36" s="139">
        <f t="shared" si="14"/>
        <v>100</v>
      </c>
    </row>
    <row r="37" spans="1:16">
      <c r="A37" s="138" t="s">
        <v>1</v>
      </c>
      <c r="B37" s="139">
        <f>VLOOKUP(A37,물량!$A$4:$D$40,2,FALSE)</f>
        <v>125690</v>
      </c>
      <c r="C37" s="139">
        <f>VLOOKUP(A37,물량!$A$4:$D$40,3,FALSE)</f>
        <v>9220</v>
      </c>
      <c r="D37" s="139">
        <f>VLOOKUP(A37,물량!$A$4:$D$40,4,FALSE)</f>
        <v>9166</v>
      </c>
      <c r="E37" s="139">
        <f t="shared" si="3"/>
        <v>18386</v>
      </c>
      <c r="F37" s="139">
        <f t="shared" si="4"/>
        <v>836</v>
      </c>
      <c r="G37" s="139">
        <f t="shared" si="9"/>
        <v>107304</v>
      </c>
      <c r="H37" s="139">
        <f t="shared" si="5"/>
        <v>392</v>
      </c>
      <c r="I37" s="139">
        <f t="shared" si="10"/>
        <v>444</v>
      </c>
      <c r="J37" s="140">
        <f t="shared" si="11"/>
        <v>1.1100000000000001</v>
      </c>
      <c r="K37" s="203">
        <f t="shared" si="12"/>
        <v>400</v>
      </c>
      <c r="L37" s="139">
        <v>400</v>
      </c>
      <c r="M37" s="139">
        <f t="shared" si="13"/>
        <v>0</v>
      </c>
      <c r="N37" s="139">
        <f>임차비!J37</f>
        <v>0</v>
      </c>
      <c r="O37" s="139"/>
      <c r="P37" s="139">
        <f t="shared" si="14"/>
        <v>0</v>
      </c>
    </row>
    <row r="38" spans="1:16">
      <c r="A38" s="138" t="s">
        <v>26</v>
      </c>
      <c r="B38" s="139">
        <f>VLOOKUP(A38,물량!$A$4:$D$40,2,FALSE)</f>
        <v>94080</v>
      </c>
      <c r="C38" s="139">
        <f>VLOOKUP(A38,물량!$A$4:$D$40,3,FALSE)</f>
        <v>7953</v>
      </c>
      <c r="D38" s="139">
        <f>VLOOKUP(A38,물량!$A$4:$D$40,4,FALSE)</f>
        <v>8661</v>
      </c>
      <c r="E38" s="139">
        <f t="shared" si="3"/>
        <v>16614</v>
      </c>
      <c r="F38" s="139">
        <f t="shared" si="4"/>
        <v>755</v>
      </c>
      <c r="G38" s="139">
        <f t="shared" si="9"/>
        <v>77466</v>
      </c>
      <c r="H38" s="139">
        <f t="shared" si="5"/>
        <v>283</v>
      </c>
      <c r="I38" s="139">
        <f t="shared" si="10"/>
        <v>472</v>
      </c>
      <c r="J38" s="140">
        <f t="shared" si="11"/>
        <v>1.18</v>
      </c>
      <c r="K38" s="203">
        <f t="shared" si="12"/>
        <v>500</v>
      </c>
      <c r="L38" s="139">
        <v>500</v>
      </c>
      <c r="M38" s="139">
        <f t="shared" si="13"/>
        <v>0</v>
      </c>
      <c r="N38" s="139">
        <f>임차비!J38</f>
        <v>0</v>
      </c>
      <c r="O38" s="139"/>
      <c r="P38" s="139">
        <f t="shared" si="14"/>
        <v>0</v>
      </c>
    </row>
    <row r="39" spans="1:16">
      <c r="A39" s="138" t="s">
        <v>16</v>
      </c>
      <c r="B39" s="139">
        <f>VLOOKUP(A39,물량!$A$4:$D$40,2,FALSE)</f>
        <v>214315</v>
      </c>
      <c r="C39" s="139">
        <f>VLOOKUP(A39,물량!$A$4:$D$40,3,FALSE)</f>
        <v>15247</v>
      </c>
      <c r="D39" s="139">
        <f>VLOOKUP(A39,물량!$A$4:$D$40,4,FALSE)</f>
        <v>16406</v>
      </c>
      <c r="E39" s="139">
        <f t="shared" si="3"/>
        <v>31653</v>
      </c>
      <c r="F39" s="139">
        <f t="shared" si="4"/>
        <v>1439</v>
      </c>
      <c r="G39" s="139">
        <f t="shared" si="9"/>
        <v>182662</v>
      </c>
      <c r="H39" s="139">
        <f t="shared" si="5"/>
        <v>667</v>
      </c>
      <c r="I39" s="139">
        <f t="shared" si="10"/>
        <v>772</v>
      </c>
      <c r="J39" s="140">
        <f t="shared" si="11"/>
        <v>1.93</v>
      </c>
      <c r="K39" s="203">
        <f t="shared" si="12"/>
        <v>800</v>
      </c>
      <c r="L39" s="139">
        <v>800</v>
      </c>
      <c r="M39" s="139">
        <f t="shared" si="13"/>
        <v>0</v>
      </c>
      <c r="N39" s="139">
        <f>임차비!J39</f>
        <v>0</v>
      </c>
      <c r="O39" s="139"/>
      <c r="P39" s="139">
        <f t="shared" si="14"/>
        <v>0</v>
      </c>
    </row>
    <row r="40" spans="1:16">
      <c r="A40" s="138" t="s">
        <v>27</v>
      </c>
      <c r="B40" s="139">
        <f>VLOOKUP(A40,물량!$A$4:$D$40,2,FALSE)</f>
        <v>170540</v>
      </c>
      <c r="C40" s="139">
        <f>VLOOKUP(A40,물량!$A$4:$D$40,3,FALSE)</f>
        <v>11559</v>
      </c>
      <c r="D40" s="139">
        <f>VLOOKUP(A40,물량!$A$4:$D$40,4,FALSE)</f>
        <v>13569</v>
      </c>
      <c r="E40" s="139">
        <f t="shared" si="3"/>
        <v>25128</v>
      </c>
      <c r="F40" s="139">
        <f t="shared" si="4"/>
        <v>1142</v>
      </c>
      <c r="G40" s="139">
        <f t="shared" si="9"/>
        <v>145412</v>
      </c>
      <c r="H40" s="139">
        <f t="shared" si="5"/>
        <v>531</v>
      </c>
      <c r="I40" s="139">
        <f t="shared" si="10"/>
        <v>611</v>
      </c>
      <c r="J40" s="140">
        <f t="shared" si="11"/>
        <v>1.5275000000000001</v>
      </c>
      <c r="K40" s="203">
        <f t="shared" si="12"/>
        <v>600</v>
      </c>
      <c r="L40" s="139">
        <v>0</v>
      </c>
      <c r="M40" s="139">
        <f t="shared" si="13"/>
        <v>600</v>
      </c>
      <c r="N40" s="139">
        <f>임차비!J40</f>
        <v>600</v>
      </c>
      <c r="O40" s="139"/>
      <c r="P40" s="139">
        <f t="shared" si="14"/>
        <v>0</v>
      </c>
    </row>
    <row r="41" spans="1:16">
      <c r="A41" s="138" t="s">
        <v>10</v>
      </c>
      <c r="B41" s="139">
        <f>VLOOKUP(A41,물량!$A$4:$D$40,2,FALSE)</f>
        <v>276733</v>
      </c>
      <c r="C41" s="139">
        <f>VLOOKUP(A41,물량!$A$4:$D$40,3,FALSE)</f>
        <v>17008</v>
      </c>
      <c r="D41" s="139">
        <f>VLOOKUP(A41,물량!$A$4:$D$40,4,FALSE)</f>
        <v>20129</v>
      </c>
      <c r="E41" s="139">
        <f t="shared" si="3"/>
        <v>37137</v>
      </c>
      <c r="F41" s="139">
        <f t="shared" si="4"/>
        <v>1688</v>
      </c>
      <c r="G41" s="139">
        <f t="shared" si="9"/>
        <v>239596</v>
      </c>
      <c r="H41" s="139">
        <f t="shared" si="5"/>
        <v>874</v>
      </c>
      <c r="I41" s="139">
        <f t="shared" si="10"/>
        <v>814</v>
      </c>
      <c r="J41" s="140">
        <f t="shared" si="11"/>
        <v>2.0350000000000001</v>
      </c>
      <c r="K41" s="203">
        <f t="shared" si="12"/>
        <v>800</v>
      </c>
      <c r="L41" s="139"/>
      <c r="M41" s="139">
        <f t="shared" si="13"/>
        <v>800</v>
      </c>
      <c r="N41" s="139">
        <f>임차비!J41</f>
        <v>600</v>
      </c>
      <c r="O41" s="139"/>
      <c r="P41" s="139">
        <f t="shared" si="14"/>
        <v>200</v>
      </c>
    </row>
    <row r="42" spans="1:16">
      <c r="A42" s="138" t="s">
        <v>17</v>
      </c>
      <c r="B42" s="139">
        <f>VLOOKUP(A42,물량!$A$4:$D$40,2,FALSE)</f>
        <v>161198</v>
      </c>
      <c r="C42" s="139">
        <f>VLOOKUP(A42,물량!$A$4:$D$40,3,FALSE)</f>
        <v>12400</v>
      </c>
      <c r="D42" s="139">
        <f>VLOOKUP(A42,물량!$A$4:$D$40,4,FALSE)</f>
        <v>13819</v>
      </c>
      <c r="E42" s="139">
        <f t="shared" si="3"/>
        <v>26219</v>
      </c>
      <c r="F42" s="139">
        <f t="shared" si="4"/>
        <v>1192</v>
      </c>
      <c r="G42" s="139">
        <f t="shared" si="9"/>
        <v>134979</v>
      </c>
      <c r="H42" s="139">
        <f t="shared" si="5"/>
        <v>493</v>
      </c>
      <c r="I42" s="139">
        <f t="shared" si="10"/>
        <v>699</v>
      </c>
      <c r="J42" s="140">
        <f t="shared" si="11"/>
        <v>1.7475000000000001</v>
      </c>
      <c r="K42" s="203">
        <f t="shared" si="12"/>
        <v>700</v>
      </c>
      <c r="L42" s="139">
        <v>700</v>
      </c>
      <c r="M42" s="139">
        <f t="shared" si="13"/>
        <v>0</v>
      </c>
      <c r="N42" s="139">
        <f>임차비!J42</f>
        <v>0</v>
      </c>
      <c r="O42" s="139"/>
      <c r="P42" s="139">
        <f t="shared" si="14"/>
        <v>0</v>
      </c>
    </row>
    <row r="43" spans="1:16">
      <c r="A43" s="141" t="s">
        <v>38</v>
      </c>
      <c r="B43" s="142">
        <f>VLOOKUP(A43,물량!$A$4:$D$40,2,FALSE)</f>
        <v>162741</v>
      </c>
      <c r="C43" s="142">
        <f>VLOOKUP(A43,물량!$A$4:$D$40,3,FALSE)</f>
        <v>13614</v>
      </c>
      <c r="D43" s="142">
        <f>VLOOKUP(A43,물량!$A$4:$D$40,4,FALSE)</f>
        <v>14327</v>
      </c>
      <c r="E43" s="142">
        <f t="shared" si="3"/>
        <v>27941</v>
      </c>
      <c r="F43" s="142">
        <f t="shared" si="4"/>
        <v>1270</v>
      </c>
      <c r="G43" s="142">
        <f t="shared" si="9"/>
        <v>134800</v>
      </c>
      <c r="H43" s="142">
        <f t="shared" si="5"/>
        <v>492</v>
      </c>
      <c r="I43" s="142">
        <f t="shared" si="10"/>
        <v>778</v>
      </c>
      <c r="J43" s="143">
        <f t="shared" si="11"/>
        <v>1.9450000000000001</v>
      </c>
      <c r="K43" s="204">
        <f t="shared" si="12"/>
        <v>800</v>
      </c>
      <c r="L43" s="142">
        <v>800</v>
      </c>
      <c r="M43" s="142">
        <f t="shared" si="13"/>
        <v>0</v>
      </c>
      <c r="N43" s="142">
        <f>임차비!J43</f>
        <v>700</v>
      </c>
      <c r="O43" s="142"/>
      <c r="P43" s="142">
        <f t="shared" si="14"/>
        <v>-700</v>
      </c>
    </row>
    <row r="44" spans="1:16">
      <c r="A44" s="8">
        <v>1</v>
      </c>
      <c r="B44" s="8">
        <v>2</v>
      </c>
      <c r="C44" s="8">
        <v>3</v>
      </c>
      <c r="D44" s="8">
        <v>4</v>
      </c>
      <c r="E44" s="8">
        <v>5</v>
      </c>
      <c r="F44" s="8">
        <v>6</v>
      </c>
      <c r="G44" s="8">
        <v>7</v>
      </c>
      <c r="H44" s="8">
        <v>8</v>
      </c>
      <c r="I44" s="8">
        <v>9</v>
      </c>
      <c r="J44" s="8">
        <v>10</v>
      </c>
      <c r="K44" s="8">
        <v>11</v>
      </c>
      <c r="L44" s="8">
        <v>12</v>
      </c>
      <c r="M44" s="8">
        <v>13</v>
      </c>
      <c r="N44" s="8">
        <v>14</v>
      </c>
      <c r="O44" s="8"/>
      <c r="P44" s="8">
        <v>15</v>
      </c>
    </row>
    <row r="45" spans="1:16">
      <c r="M45" s="56"/>
    </row>
  </sheetData>
  <mergeCells count="12">
    <mergeCell ref="M3:M4"/>
    <mergeCell ref="P3:P4"/>
    <mergeCell ref="A1:P1"/>
    <mergeCell ref="A3:A4"/>
    <mergeCell ref="B3:B4"/>
    <mergeCell ref="C3:F3"/>
    <mergeCell ref="G3:H3"/>
    <mergeCell ref="I3:I4"/>
    <mergeCell ref="J3:J4"/>
    <mergeCell ref="K3:K4"/>
    <mergeCell ref="L3:L4"/>
    <mergeCell ref="N3:O3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18"/>
  <sheetViews>
    <sheetView workbookViewId="0">
      <selection activeCell="I14" sqref="I14:I17"/>
    </sheetView>
  </sheetViews>
  <sheetFormatPr defaultColWidth="8.88671875" defaultRowHeight="13.5"/>
  <cols>
    <col min="1" max="1" width="9.77734375" style="15" customWidth="1"/>
    <col min="2" max="2" width="9" style="15" bestFit="1" customWidth="1"/>
    <col min="3" max="3" width="10.77734375" style="15" bestFit="1" customWidth="1"/>
    <col min="4" max="6" width="9" style="15" bestFit="1" customWidth="1"/>
    <col min="7" max="7" width="10.77734375" style="15" bestFit="1" customWidth="1"/>
    <col min="8" max="8" width="8.109375" style="15" bestFit="1" customWidth="1"/>
    <col min="9" max="9" width="9" style="15" bestFit="1" customWidth="1"/>
    <col min="10" max="10" width="8.88671875" style="15"/>
    <col min="11" max="11" width="6.33203125" style="15" bestFit="1" customWidth="1"/>
    <col min="12" max="14" width="7.44140625" style="15" bestFit="1" customWidth="1"/>
    <col min="15" max="15" width="4.44140625" style="15" bestFit="1" customWidth="1"/>
    <col min="16" max="16" width="7.5546875" style="15" bestFit="1" customWidth="1"/>
    <col min="17" max="16384" width="8.88671875" style="15"/>
  </cols>
  <sheetData>
    <row r="1" spans="1:16" ht="32.1" customHeight="1">
      <c r="A1" s="282" t="s">
        <v>73</v>
      </c>
      <c r="B1" s="282"/>
      <c r="C1" s="282"/>
      <c r="D1" s="282"/>
      <c r="E1" s="282"/>
      <c r="F1" s="282"/>
      <c r="G1" s="282"/>
      <c r="H1" s="282"/>
      <c r="I1" s="282"/>
    </row>
    <row r="2" spans="1:16" ht="15" customHeight="1" thickBot="1">
      <c r="A2" s="16"/>
      <c r="B2" s="16"/>
      <c r="C2" s="16"/>
      <c r="D2" s="16"/>
      <c r="E2" s="16"/>
      <c r="F2" s="16"/>
      <c r="G2" s="16"/>
      <c r="H2" s="16"/>
      <c r="I2" s="16"/>
    </row>
    <row r="3" spans="1:16">
      <c r="A3" s="286" t="s">
        <v>66</v>
      </c>
      <c r="B3" s="283" t="s">
        <v>30</v>
      </c>
      <c r="C3" s="283"/>
      <c r="D3" s="283" t="s">
        <v>137</v>
      </c>
      <c r="E3" s="283"/>
      <c r="F3" s="290" t="s">
        <v>34</v>
      </c>
      <c r="G3" s="290"/>
      <c r="H3" s="284" t="s">
        <v>72</v>
      </c>
      <c r="I3" s="288" t="s">
        <v>67</v>
      </c>
      <c r="K3" s="278" t="s">
        <v>115</v>
      </c>
      <c r="L3" s="280" t="s">
        <v>116</v>
      </c>
      <c r="M3" s="280"/>
      <c r="N3" s="281"/>
    </row>
    <row r="4" spans="1:16" ht="14.25" thickBot="1">
      <c r="A4" s="287"/>
      <c r="B4" s="17" t="s">
        <v>32</v>
      </c>
      <c r="C4" s="17" t="s">
        <v>9</v>
      </c>
      <c r="D4" s="17" t="s">
        <v>32</v>
      </c>
      <c r="E4" s="17" t="s">
        <v>9</v>
      </c>
      <c r="F4" s="50" t="s">
        <v>32</v>
      </c>
      <c r="G4" s="50" t="s">
        <v>9</v>
      </c>
      <c r="H4" s="285"/>
      <c r="I4" s="289"/>
      <c r="K4" s="279"/>
      <c r="L4" s="31" t="s">
        <v>117</v>
      </c>
      <c r="M4" s="31" t="s">
        <v>118</v>
      </c>
      <c r="N4" s="32" t="s">
        <v>119</v>
      </c>
    </row>
    <row r="5" spans="1:16">
      <c r="A5" s="51" t="s">
        <v>63</v>
      </c>
      <c r="B5" s="210">
        <v>83</v>
      </c>
      <c r="C5" s="210">
        <v>81</v>
      </c>
      <c r="D5" s="210">
        <v>284</v>
      </c>
      <c r="E5" s="210">
        <v>272</v>
      </c>
      <c r="F5" s="210">
        <f t="shared" ref="F5:F6" si="0">B5+D5</f>
        <v>367</v>
      </c>
      <c r="G5" s="210">
        <f t="shared" ref="G5:G6" si="1">C5+E5</f>
        <v>353</v>
      </c>
      <c r="H5" s="210">
        <v>120</v>
      </c>
      <c r="I5" s="211">
        <f>G5+H5</f>
        <v>473</v>
      </c>
      <c r="K5" s="33" t="s">
        <v>120</v>
      </c>
      <c r="L5" s="34">
        <v>6470</v>
      </c>
      <c r="M5" s="34">
        <f>L5*1.5</f>
        <v>9705</v>
      </c>
      <c r="N5" s="35">
        <f>L5</f>
        <v>6470</v>
      </c>
      <c r="O5" s="18"/>
    </row>
    <row r="6" spans="1:16">
      <c r="A6" s="52" t="s">
        <v>55</v>
      </c>
      <c r="B6" s="212">
        <v>51</v>
      </c>
      <c r="C6" s="212">
        <v>51</v>
      </c>
      <c r="D6" s="212">
        <v>98</v>
      </c>
      <c r="E6" s="212">
        <v>115</v>
      </c>
      <c r="F6" s="213">
        <f t="shared" si="0"/>
        <v>149</v>
      </c>
      <c r="G6" s="213">
        <f t="shared" si="1"/>
        <v>166</v>
      </c>
      <c r="H6" s="212">
        <v>45</v>
      </c>
      <c r="I6" s="214">
        <f t="shared" ref="I6:I7" si="2">G6+H6</f>
        <v>211</v>
      </c>
      <c r="K6" s="33" t="s">
        <v>121</v>
      </c>
      <c r="L6" s="36">
        <f>L5*4</f>
        <v>25880</v>
      </c>
      <c r="M6" s="36">
        <f t="shared" ref="M6:N6" si="3">M5*4</f>
        <v>38820</v>
      </c>
      <c r="N6" s="35">
        <f t="shared" si="3"/>
        <v>25880</v>
      </c>
    </row>
    <row r="7" spans="1:16" ht="14.25" thickBot="1">
      <c r="A7" s="52" t="s">
        <v>58</v>
      </c>
      <c r="B7" s="212">
        <v>39</v>
      </c>
      <c r="C7" s="212">
        <v>39</v>
      </c>
      <c r="D7" s="212">
        <v>74</v>
      </c>
      <c r="E7" s="212">
        <v>74</v>
      </c>
      <c r="F7" s="213">
        <f>B7+D7</f>
        <v>113</v>
      </c>
      <c r="G7" s="213">
        <f>C7+E7</f>
        <v>113</v>
      </c>
      <c r="H7" s="212">
        <v>50</v>
      </c>
      <c r="I7" s="214">
        <f t="shared" si="2"/>
        <v>163</v>
      </c>
      <c r="K7" s="37" t="s">
        <v>122</v>
      </c>
      <c r="L7" s="38">
        <f>L5*8</f>
        <v>51760</v>
      </c>
      <c r="M7" s="38">
        <f t="shared" ref="M7:N7" si="4">M5*8</f>
        <v>77640</v>
      </c>
      <c r="N7" s="39">
        <f t="shared" si="4"/>
        <v>51760</v>
      </c>
    </row>
    <row r="8" spans="1:16">
      <c r="A8" s="52" t="s">
        <v>62</v>
      </c>
      <c r="B8" s="212">
        <v>51</v>
      </c>
      <c r="C8" s="212">
        <v>50</v>
      </c>
      <c r="D8" s="212">
        <v>108</v>
      </c>
      <c r="E8" s="212">
        <v>107</v>
      </c>
      <c r="F8" s="213">
        <f>B8+D8</f>
        <v>159</v>
      </c>
      <c r="G8" s="213">
        <f>C8+E8</f>
        <v>157</v>
      </c>
      <c r="H8" s="212">
        <v>30</v>
      </c>
      <c r="I8" s="214">
        <f>G8+H8</f>
        <v>187</v>
      </c>
      <c r="L8" s="19"/>
      <c r="M8" s="19"/>
      <c r="N8" s="19"/>
      <c r="O8" s="19"/>
      <c r="P8" s="20"/>
    </row>
    <row r="9" spans="1:16" ht="14.25" thickBot="1">
      <c r="A9" s="53" t="s">
        <v>20</v>
      </c>
      <c r="B9" s="215">
        <f>SUM(B5:B8)</f>
        <v>224</v>
      </c>
      <c r="C9" s="215">
        <f t="shared" ref="C9:G9" si="5">SUM(C5:C8)</f>
        <v>221</v>
      </c>
      <c r="D9" s="215">
        <f t="shared" si="5"/>
        <v>564</v>
      </c>
      <c r="E9" s="215">
        <f t="shared" si="5"/>
        <v>568</v>
      </c>
      <c r="F9" s="215">
        <f t="shared" si="5"/>
        <v>788</v>
      </c>
      <c r="G9" s="215">
        <f t="shared" si="5"/>
        <v>789</v>
      </c>
      <c r="H9" s="215">
        <f t="shared" ref="H9" si="6">SUM(H5:H8)</f>
        <v>245</v>
      </c>
      <c r="I9" s="216">
        <f t="shared" ref="I9" si="7">SUM(I5:I8)</f>
        <v>1034</v>
      </c>
      <c r="K9" s="30"/>
      <c r="L9" s="19"/>
      <c r="M9" s="19"/>
      <c r="N9" s="19"/>
      <c r="O9" s="19"/>
      <c r="P9" s="20"/>
    </row>
    <row r="10" spans="1:16">
      <c r="A10" s="207"/>
      <c r="B10" s="208"/>
      <c r="C10" s="208"/>
      <c r="D10" s="208"/>
      <c r="E10" s="208"/>
      <c r="F10" s="208"/>
      <c r="G10" s="208"/>
      <c r="H10" s="208"/>
      <c r="I10" s="208"/>
      <c r="K10" s="30"/>
      <c r="L10" s="19"/>
      <c r="M10" s="19"/>
      <c r="N10" s="19"/>
      <c r="O10" s="19"/>
      <c r="P10" s="20"/>
    </row>
    <row r="11" spans="1:16" ht="16.5">
      <c r="A11" s="276" t="s">
        <v>209</v>
      </c>
      <c r="B11" s="276"/>
      <c r="C11" s="276"/>
      <c r="D11" s="276"/>
      <c r="E11" s="276"/>
      <c r="F11" s="276"/>
      <c r="K11" s="30"/>
      <c r="L11" s="19"/>
      <c r="M11" s="19"/>
      <c r="N11" s="19"/>
    </row>
    <row r="12" spans="1:16" ht="14.25" thickBot="1">
      <c r="F12" s="209" t="s">
        <v>210</v>
      </c>
      <c r="K12" s="277" t="s">
        <v>204</v>
      </c>
      <c r="L12" s="277"/>
      <c r="M12" s="277"/>
      <c r="N12" s="277"/>
    </row>
    <row r="13" spans="1:16">
      <c r="A13" s="293" t="s">
        <v>149</v>
      </c>
      <c r="B13" s="294"/>
      <c r="C13" s="42" t="s">
        <v>150</v>
      </c>
      <c r="D13" s="42" t="s">
        <v>151</v>
      </c>
      <c r="E13" s="42" t="s">
        <v>152</v>
      </c>
      <c r="F13" s="43" t="s">
        <v>153</v>
      </c>
      <c r="K13" s="278" t="s">
        <v>115</v>
      </c>
      <c r="L13" s="280" t="s">
        <v>116</v>
      </c>
      <c r="M13" s="280"/>
      <c r="N13" s="281"/>
    </row>
    <row r="14" spans="1:16">
      <c r="A14" s="295" t="s">
        <v>95</v>
      </c>
      <c r="B14" s="296"/>
      <c r="C14" s="44">
        <v>1646655</v>
      </c>
      <c r="D14" s="45">
        <f>C14/$C$18*100</f>
        <v>52.613694312696268</v>
      </c>
      <c r="E14" s="44">
        <f>ROUND(D14*$E$18/100,-3)</f>
        <v>58000</v>
      </c>
      <c r="F14" s="46">
        <f>E14*1000/$L$7/13</f>
        <v>86.196647247651882</v>
      </c>
      <c r="H14" s="15">
        <v>87120</v>
      </c>
      <c r="I14" s="67">
        <f>H14*0.65</f>
        <v>56628</v>
      </c>
      <c r="K14" s="279"/>
      <c r="L14" s="31" t="s">
        <v>117</v>
      </c>
      <c r="M14" s="31" t="s">
        <v>118</v>
      </c>
      <c r="N14" s="32" t="s">
        <v>119</v>
      </c>
    </row>
    <row r="15" spans="1:16">
      <c r="A15" s="297" t="s">
        <v>96</v>
      </c>
      <c r="B15" s="298"/>
      <c r="C15" s="44">
        <v>523060</v>
      </c>
      <c r="D15" s="45">
        <f t="shared" ref="D15:D18" si="8">C15/$C$18*100</f>
        <v>16.712741252538578</v>
      </c>
      <c r="E15" s="44">
        <f t="shared" ref="E15:E17" si="9">ROUND(D15*$E$18/100,-3)</f>
        <v>18000</v>
      </c>
      <c r="F15" s="46">
        <f t="shared" ref="F15:F18" si="10">E15*1000/$L$7/13</f>
        <v>26.750683628581619</v>
      </c>
      <c r="H15" s="15">
        <v>27924</v>
      </c>
      <c r="I15" s="67">
        <f t="shared" ref="I15:I17" si="11">H15*0.65</f>
        <v>18150.600000000002</v>
      </c>
      <c r="K15" s="33" t="s">
        <v>120</v>
      </c>
      <c r="L15" s="34">
        <v>7530</v>
      </c>
      <c r="M15" s="34">
        <f>L15*1.5</f>
        <v>11295</v>
      </c>
      <c r="N15" s="35">
        <f>L15</f>
        <v>7530</v>
      </c>
    </row>
    <row r="16" spans="1:16">
      <c r="A16" s="297" t="s">
        <v>97</v>
      </c>
      <c r="B16" s="298"/>
      <c r="C16" s="44">
        <v>395545</v>
      </c>
      <c r="D16" s="45">
        <f t="shared" si="8"/>
        <v>12.638399492860037</v>
      </c>
      <c r="E16" s="44">
        <f t="shared" si="9"/>
        <v>14000</v>
      </c>
      <c r="F16" s="46">
        <f t="shared" si="10"/>
        <v>20.806087266674595</v>
      </c>
      <c r="H16" s="15">
        <v>21000</v>
      </c>
      <c r="I16" s="67">
        <f t="shared" si="11"/>
        <v>13650</v>
      </c>
      <c r="K16" s="33" t="s">
        <v>121</v>
      </c>
      <c r="L16" s="36">
        <f>L15*4</f>
        <v>30120</v>
      </c>
      <c r="M16" s="36">
        <f t="shared" ref="M16:N16" si="12">M15*4</f>
        <v>45180</v>
      </c>
      <c r="N16" s="35">
        <f t="shared" si="12"/>
        <v>30120</v>
      </c>
    </row>
    <row r="17" spans="1:14" ht="14.25" thickBot="1">
      <c r="A17" s="297" t="s">
        <v>98</v>
      </c>
      <c r="B17" s="298"/>
      <c r="C17" s="44">
        <v>564448</v>
      </c>
      <c r="D17" s="45">
        <f t="shared" si="8"/>
        <v>18.035164941905123</v>
      </c>
      <c r="E17" s="44">
        <f t="shared" si="9"/>
        <v>20000</v>
      </c>
      <c r="F17" s="46">
        <f t="shared" si="10"/>
        <v>29.722981809535135</v>
      </c>
      <c r="H17" s="15">
        <v>27482</v>
      </c>
      <c r="I17" s="67">
        <f t="shared" si="11"/>
        <v>17863.3</v>
      </c>
      <c r="K17" s="37" t="s">
        <v>122</v>
      </c>
      <c r="L17" s="38">
        <f>L15*8</f>
        <v>60240</v>
      </c>
      <c r="M17" s="38">
        <f t="shared" ref="M17:N17" si="13">M15*8</f>
        <v>90360</v>
      </c>
      <c r="N17" s="39">
        <f t="shared" si="13"/>
        <v>60240</v>
      </c>
    </row>
    <row r="18" spans="1:14" ht="14.25" thickBot="1">
      <c r="A18" s="291" t="s">
        <v>154</v>
      </c>
      <c r="B18" s="292"/>
      <c r="C18" s="47">
        <f>SUM(C14:C17)</f>
        <v>3129708</v>
      </c>
      <c r="D18" s="48">
        <f t="shared" si="8"/>
        <v>100</v>
      </c>
      <c r="E18" s="47">
        <v>110000</v>
      </c>
      <c r="F18" s="49">
        <f t="shared" si="10"/>
        <v>163.47639995244324</v>
      </c>
      <c r="I18" s="19">
        <f>SUM(I14:I17)</f>
        <v>106291.90000000001</v>
      </c>
    </row>
  </sheetData>
  <mergeCells count="19">
    <mergeCell ref="K13:K14"/>
    <mergeCell ref="L13:N13"/>
    <mergeCell ref="A18:B18"/>
    <mergeCell ref="A13:B13"/>
    <mergeCell ref="A14:B14"/>
    <mergeCell ref="A15:B15"/>
    <mergeCell ref="A16:B16"/>
    <mergeCell ref="A17:B17"/>
    <mergeCell ref="A11:F11"/>
    <mergeCell ref="K12:N12"/>
    <mergeCell ref="K3:K4"/>
    <mergeCell ref="L3:N3"/>
    <mergeCell ref="A1:I1"/>
    <mergeCell ref="D3:E3"/>
    <mergeCell ref="H3:H4"/>
    <mergeCell ref="A3:A4"/>
    <mergeCell ref="B3:C3"/>
    <mergeCell ref="I3:I4"/>
    <mergeCell ref="F3:G3"/>
  </mergeCells>
  <phoneticPr fontId="5" type="noConversion"/>
  <pageMargins left="0.74805557727813721" right="0.74805557727813721" top="0.98430556058883667" bottom="0.98430556058883667" header="0.51138889789581299" footer="0.51138889789581299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41"/>
  <sheetViews>
    <sheetView workbookViewId="0">
      <selection sqref="A1:D1"/>
    </sheetView>
  </sheetViews>
  <sheetFormatPr defaultRowHeight="13.5"/>
  <cols>
    <col min="1" max="1" width="10.77734375" style="187" customWidth="1"/>
    <col min="2" max="4" width="10.77734375" style="186" customWidth="1"/>
    <col min="5" max="16384" width="8.88671875" style="186"/>
  </cols>
  <sheetData>
    <row r="1" spans="1:4" ht="26.25">
      <c r="A1" s="299" t="s">
        <v>205</v>
      </c>
      <c r="B1" s="299"/>
      <c r="C1" s="299"/>
      <c r="D1" s="299"/>
    </row>
    <row r="2" spans="1:4">
      <c r="A2" s="188" t="s">
        <v>198</v>
      </c>
      <c r="B2" s="189" t="s">
        <v>199</v>
      </c>
      <c r="C2" s="190" t="s">
        <v>200</v>
      </c>
      <c r="D2" s="190" t="s">
        <v>201</v>
      </c>
    </row>
    <row r="3" spans="1:4">
      <c r="A3" s="191" t="s">
        <v>19</v>
      </c>
      <c r="B3" s="192">
        <v>1773120</v>
      </c>
      <c r="C3" s="192">
        <v>101447</v>
      </c>
      <c r="D3" s="192">
        <v>119040</v>
      </c>
    </row>
    <row r="4" spans="1:4">
      <c r="A4" s="191" t="s">
        <v>11</v>
      </c>
      <c r="B4" s="192">
        <v>766694</v>
      </c>
      <c r="C4" s="192">
        <v>45127</v>
      </c>
      <c r="D4" s="192">
        <v>52298</v>
      </c>
    </row>
    <row r="5" spans="1:4">
      <c r="A5" s="191" t="s">
        <v>53</v>
      </c>
      <c r="B5" s="192">
        <v>1252626</v>
      </c>
      <c r="C5" s="192">
        <v>68285</v>
      </c>
      <c r="D5" s="192">
        <v>82387</v>
      </c>
    </row>
    <row r="6" spans="1:4">
      <c r="A6" s="191" t="s">
        <v>33</v>
      </c>
      <c r="B6" s="192">
        <v>1152186</v>
      </c>
      <c r="C6" s="192">
        <v>68930</v>
      </c>
      <c r="D6" s="192">
        <v>81512</v>
      </c>
    </row>
    <row r="7" spans="1:4">
      <c r="A7" s="191" t="s">
        <v>57</v>
      </c>
      <c r="B7" s="192">
        <v>1155567</v>
      </c>
      <c r="C7" s="192">
        <v>66112</v>
      </c>
      <c r="D7" s="192">
        <v>77520</v>
      </c>
    </row>
    <row r="8" spans="1:4">
      <c r="A8" s="191" t="s">
        <v>7</v>
      </c>
      <c r="B8" s="192">
        <v>2077925</v>
      </c>
      <c r="C8" s="192">
        <v>126314</v>
      </c>
      <c r="D8" s="192">
        <v>142301</v>
      </c>
    </row>
    <row r="9" spans="1:4">
      <c r="A9" s="191" t="s">
        <v>28</v>
      </c>
      <c r="B9" s="192">
        <v>2048243</v>
      </c>
      <c r="C9" s="192">
        <v>119371</v>
      </c>
      <c r="D9" s="192">
        <v>139278</v>
      </c>
    </row>
    <row r="10" spans="1:4">
      <c r="A10" s="191" t="s">
        <v>59</v>
      </c>
      <c r="B10" s="192">
        <v>1037853</v>
      </c>
      <c r="C10" s="192">
        <v>58417</v>
      </c>
      <c r="D10" s="192">
        <v>68897</v>
      </c>
    </row>
    <row r="11" spans="1:4">
      <c r="A11" s="191" t="s">
        <v>5</v>
      </c>
      <c r="B11" s="192">
        <v>2328100</v>
      </c>
      <c r="C11" s="192">
        <v>122959</v>
      </c>
      <c r="D11" s="192">
        <v>149872</v>
      </c>
    </row>
    <row r="12" spans="1:4">
      <c r="A12" s="191" t="s">
        <v>29</v>
      </c>
      <c r="B12" s="192">
        <v>762081</v>
      </c>
      <c r="C12" s="192">
        <v>43869</v>
      </c>
      <c r="D12" s="192">
        <v>50050</v>
      </c>
    </row>
    <row r="13" spans="1:4">
      <c r="A13" s="191" t="s">
        <v>50</v>
      </c>
      <c r="B13" s="192">
        <v>712065</v>
      </c>
      <c r="C13" s="192">
        <v>39430</v>
      </c>
      <c r="D13" s="192">
        <v>45047</v>
      </c>
    </row>
    <row r="14" spans="1:4">
      <c r="A14" s="191" t="s">
        <v>3</v>
      </c>
      <c r="B14" s="192">
        <v>2222894</v>
      </c>
      <c r="C14" s="192">
        <v>121620</v>
      </c>
      <c r="D14" s="192">
        <v>142694</v>
      </c>
    </row>
    <row r="15" spans="1:4">
      <c r="A15" s="191" t="s">
        <v>2</v>
      </c>
      <c r="B15" s="192">
        <v>832992</v>
      </c>
      <c r="C15" s="192">
        <v>41754</v>
      </c>
      <c r="D15" s="192">
        <v>48718</v>
      </c>
    </row>
    <row r="16" spans="1:4">
      <c r="A16" s="191" t="s">
        <v>37</v>
      </c>
      <c r="B16" s="192">
        <v>1604105</v>
      </c>
      <c r="C16" s="192">
        <v>91453</v>
      </c>
      <c r="D16" s="192">
        <v>107130</v>
      </c>
    </row>
    <row r="17" spans="1:4">
      <c r="A17" s="191" t="s">
        <v>6</v>
      </c>
      <c r="B17" s="192">
        <v>2393543</v>
      </c>
      <c r="C17" s="192">
        <v>122737</v>
      </c>
      <c r="D17" s="192">
        <v>145399</v>
      </c>
    </row>
    <row r="18" spans="1:4">
      <c r="A18" s="191" t="s">
        <v>39</v>
      </c>
      <c r="B18" s="192">
        <v>2122750</v>
      </c>
      <c r="C18" s="192">
        <v>110568</v>
      </c>
      <c r="D18" s="192">
        <v>131402</v>
      </c>
    </row>
    <row r="19" spans="1:4">
      <c r="A19" s="191" t="s">
        <v>61</v>
      </c>
      <c r="B19" s="192">
        <v>428710</v>
      </c>
      <c r="C19" s="192">
        <v>25393</v>
      </c>
      <c r="D19" s="192">
        <v>29378</v>
      </c>
    </row>
    <row r="20" spans="1:4">
      <c r="A20" s="191" t="s">
        <v>15</v>
      </c>
      <c r="B20" s="192">
        <v>500145</v>
      </c>
      <c r="C20" s="192">
        <v>27449</v>
      </c>
      <c r="D20" s="192">
        <v>32417</v>
      </c>
    </row>
    <row r="21" spans="1:4">
      <c r="A21" s="191" t="s">
        <v>64</v>
      </c>
      <c r="B21" s="192">
        <v>795872</v>
      </c>
      <c r="C21" s="192">
        <v>41101</v>
      </c>
      <c r="D21" s="192">
        <v>56992</v>
      </c>
    </row>
    <row r="22" spans="1:4">
      <c r="A22" s="191" t="s">
        <v>8</v>
      </c>
      <c r="B22" s="192">
        <v>699429</v>
      </c>
      <c r="C22" s="192">
        <v>35709</v>
      </c>
      <c r="D22" s="192">
        <v>42993</v>
      </c>
    </row>
    <row r="23" spans="1:4">
      <c r="A23" s="191" t="s">
        <v>23</v>
      </c>
      <c r="B23" s="192">
        <v>1403596</v>
      </c>
      <c r="C23" s="192">
        <v>71149</v>
      </c>
      <c r="D23" s="192">
        <v>88754</v>
      </c>
    </row>
    <row r="24" spans="1:4">
      <c r="A24" s="191" t="s">
        <v>24</v>
      </c>
      <c r="B24" s="192">
        <v>375044</v>
      </c>
      <c r="C24" s="192">
        <v>23558</v>
      </c>
      <c r="D24" s="192">
        <v>27823</v>
      </c>
    </row>
    <row r="25" spans="1:4">
      <c r="A25" s="191" t="s">
        <v>16</v>
      </c>
      <c r="B25" s="192">
        <v>214315</v>
      </c>
      <c r="C25" s="192">
        <v>15247</v>
      </c>
      <c r="D25" s="192">
        <v>16406</v>
      </c>
    </row>
    <row r="26" spans="1:4">
      <c r="A26" s="191" t="s">
        <v>26</v>
      </c>
      <c r="B26" s="192">
        <v>94080</v>
      </c>
      <c r="C26" s="192">
        <v>7953</v>
      </c>
      <c r="D26" s="192">
        <v>8661</v>
      </c>
    </row>
    <row r="27" spans="1:4">
      <c r="A27" s="191" t="s">
        <v>10</v>
      </c>
      <c r="B27" s="192">
        <v>276733</v>
      </c>
      <c r="C27" s="192">
        <v>17008</v>
      </c>
      <c r="D27" s="192">
        <v>20129</v>
      </c>
    </row>
    <row r="28" spans="1:4">
      <c r="A28" s="191" t="s">
        <v>36</v>
      </c>
      <c r="B28" s="192">
        <v>192827</v>
      </c>
      <c r="C28" s="192">
        <v>13819</v>
      </c>
      <c r="D28" s="192">
        <v>14898</v>
      </c>
    </row>
    <row r="29" spans="1:4">
      <c r="A29" s="191" t="s">
        <v>31</v>
      </c>
      <c r="B29" s="192">
        <v>561402</v>
      </c>
      <c r="C29" s="192">
        <v>29023</v>
      </c>
      <c r="D29" s="192">
        <v>33218</v>
      </c>
    </row>
    <row r="30" spans="1:4">
      <c r="A30" s="191" t="s">
        <v>40</v>
      </c>
      <c r="B30" s="192">
        <v>1242767</v>
      </c>
      <c r="C30" s="192">
        <v>58657</v>
      </c>
      <c r="D30" s="192">
        <v>67266</v>
      </c>
    </row>
    <row r="31" spans="1:4">
      <c r="A31" s="191" t="s">
        <v>21</v>
      </c>
      <c r="B31" s="192">
        <v>469639</v>
      </c>
      <c r="C31" s="192">
        <v>25726</v>
      </c>
      <c r="D31" s="192">
        <v>29991</v>
      </c>
    </row>
    <row r="32" spans="1:4">
      <c r="A32" s="191" t="s">
        <v>1</v>
      </c>
      <c r="B32" s="192">
        <v>125690</v>
      </c>
      <c r="C32" s="192">
        <v>9220</v>
      </c>
      <c r="D32" s="192">
        <v>9166</v>
      </c>
    </row>
    <row r="33" spans="1:4">
      <c r="A33" s="191" t="s">
        <v>27</v>
      </c>
      <c r="B33" s="192">
        <v>170540</v>
      </c>
      <c r="C33" s="192">
        <v>11559</v>
      </c>
      <c r="D33" s="192">
        <v>13569</v>
      </c>
    </row>
    <row r="34" spans="1:4">
      <c r="A34" s="191" t="s">
        <v>18</v>
      </c>
      <c r="B34" s="192">
        <v>183352</v>
      </c>
      <c r="C34" s="192">
        <v>11284</v>
      </c>
      <c r="D34" s="192">
        <v>14211</v>
      </c>
    </row>
    <row r="35" spans="1:4">
      <c r="A35" s="191" t="s">
        <v>4</v>
      </c>
      <c r="B35" s="192">
        <v>242712</v>
      </c>
      <c r="C35" s="192">
        <v>15183</v>
      </c>
      <c r="D35" s="192">
        <v>18163</v>
      </c>
    </row>
    <row r="36" spans="1:4">
      <c r="A36" s="191" t="s">
        <v>17</v>
      </c>
      <c r="B36" s="192">
        <v>161198</v>
      </c>
      <c r="C36" s="192">
        <v>12400</v>
      </c>
      <c r="D36" s="192">
        <v>13819</v>
      </c>
    </row>
    <row r="37" spans="1:4">
      <c r="A37" s="191" t="s">
        <v>38</v>
      </c>
      <c r="B37" s="192">
        <v>162741</v>
      </c>
      <c r="C37" s="192">
        <v>13614</v>
      </c>
      <c r="D37" s="192">
        <v>14327</v>
      </c>
    </row>
    <row r="38" spans="1:4">
      <c r="A38" s="191" t="s">
        <v>13</v>
      </c>
      <c r="B38" s="192">
        <v>770673</v>
      </c>
      <c r="C38" s="192">
        <v>38535</v>
      </c>
      <c r="D38" s="192">
        <v>44616</v>
      </c>
    </row>
    <row r="39" spans="1:4">
      <c r="A39" s="191" t="s">
        <v>25</v>
      </c>
      <c r="B39" s="192">
        <v>1114390</v>
      </c>
      <c r="C39" s="192">
        <v>63253</v>
      </c>
      <c r="D39" s="192">
        <v>71602</v>
      </c>
    </row>
    <row r="40" spans="1:4">
      <c r="A40" s="191" t="s">
        <v>60</v>
      </c>
      <c r="B40" s="192">
        <v>981628</v>
      </c>
      <c r="C40" s="192">
        <v>59051</v>
      </c>
      <c r="D40" s="192">
        <v>67087</v>
      </c>
    </row>
    <row r="41" spans="1:4">
      <c r="A41" s="189" t="s">
        <v>197</v>
      </c>
      <c r="B41" s="193">
        <f>SUM(B4:B40)</f>
        <v>33637107</v>
      </c>
      <c r="C41" s="193">
        <f t="shared" ref="C41:D41" si="0">SUM(C4:C40)</f>
        <v>1872837</v>
      </c>
      <c r="D41" s="193">
        <f t="shared" si="0"/>
        <v>2199991</v>
      </c>
    </row>
  </sheetData>
  <mergeCells count="1"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46"/>
  <sheetViews>
    <sheetView topLeftCell="A13" workbookViewId="0">
      <selection activeCell="H33" sqref="H33"/>
    </sheetView>
  </sheetViews>
  <sheetFormatPr defaultRowHeight="13.5"/>
  <cols>
    <col min="1" max="1" width="11.44140625" style="11" bestFit="1" customWidth="1"/>
    <col min="2" max="6" width="8.77734375" style="11" customWidth="1"/>
    <col min="7" max="7" width="12.77734375" style="11" customWidth="1"/>
    <col min="8" max="16384" width="8.88671875" style="11"/>
  </cols>
  <sheetData>
    <row r="1" spans="1:7" ht="20.25">
      <c r="A1" s="300" t="s">
        <v>222</v>
      </c>
      <c r="B1" s="300"/>
      <c r="C1" s="300"/>
      <c r="D1" s="300"/>
      <c r="E1" s="300"/>
      <c r="F1" s="300"/>
      <c r="G1" s="300"/>
    </row>
    <row r="2" spans="1:7" ht="20.25">
      <c r="A2" s="229"/>
      <c r="B2" s="229"/>
      <c r="C2" s="229"/>
      <c r="D2" s="229"/>
      <c r="E2" s="229"/>
      <c r="F2" s="229"/>
      <c r="G2" s="229"/>
    </row>
    <row r="3" spans="1:7">
      <c r="A3" s="226" t="s">
        <v>221</v>
      </c>
      <c r="B3" s="195" t="s">
        <v>214</v>
      </c>
      <c r="C3" s="195" t="s">
        <v>216</v>
      </c>
      <c r="D3" s="195" t="s">
        <v>143</v>
      </c>
      <c r="E3" s="195" t="s">
        <v>144</v>
      </c>
      <c r="F3" s="195" t="s">
        <v>212</v>
      </c>
      <c r="G3" s="195" t="s">
        <v>173</v>
      </c>
    </row>
    <row r="4" spans="1:7">
      <c r="A4" s="227" t="s">
        <v>19</v>
      </c>
      <c r="B4" s="228"/>
      <c r="C4" s="230">
        <v>1000</v>
      </c>
      <c r="D4" s="228"/>
      <c r="E4" s="228"/>
      <c r="F4" s="228"/>
      <c r="G4" s="195"/>
    </row>
    <row r="5" spans="1:7">
      <c r="A5" s="227" t="s">
        <v>11</v>
      </c>
      <c r="B5" s="230">
        <v>250</v>
      </c>
      <c r="C5" s="228"/>
      <c r="D5" s="228"/>
      <c r="E5" s="230">
        <v>400</v>
      </c>
      <c r="F5" s="230">
        <v>500</v>
      </c>
      <c r="G5" s="195"/>
    </row>
    <row r="6" spans="1:7">
      <c r="A6" s="227" t="s">
        <v>33</v>
      </c>
      <c r="B6" s="228"/>
      <c r="C6" s="228"/>
      <c r="D6" s="228"/>
      <c r="E6" s="228"/>
      <c r="F6" s="228"/>
      <c r="G6" s="195"/>
    </row>
    <row r="7" spans="1:7">
      <c r="A7" s="227" t="s">
        <v>28</v>
      </c>
      <c r="B7" s="228"/>
      <c r="C7" s="228"/>
      <c r="D7" s="228"/>
      <c r="E7" s="228"/>
      <c r="F7" s="228"/>
      <c r="G7" s="195"/>
    </row>
    <row r="8" spans="1:7">
      <c r="A8" s="227" t="s">
        <v>59</v>
      </c>
      <c r="B8" s="230">
        <v>730</v>
      </c>
      <c r="C8" s="228"/>
      <c r="D8" s="228"/>
      <c r="E8" s="228"/>
      <c r="F8" s="228"/>
      <c r="G8" s="195"/>
    </row>
    <row r="9" spans="1:7">
      <c r="A9" s="227" t="s">
        <v>57</v>
      </c>
      <c r="B9" s="230">
        <v>2531</v>
      </c>
      <c r="C9" s="228"/>
      <c r="D9" s="228"/>
      <c r="E9" s="228"/>
      <c r="F9" s="228"/>
      <c r="G9" s="195" t="s">
        <v>215</v>
      </c>
    </row>
    <row r="10" spans="1:7">
      <c r="A10" s="227" t="s">
        <v>53</v>
      </c>
      <c r="B10" s="228"/>
      <c r="C10" s="228"/>
      <c r="D10" s="228"/>
      <c r="E10" s="228"/>
      <c r="F10" s="228"/>
      <c r="G10" s="195"/>
    </row>
    <row r="11" spans="1:7">
      <c r="A11" s="227" t="s">
        <v>7</v>
      </c>
      <c r="B11" s="228"/>
      <c r="C11" s="228"/>
      <c r="D11" s="228"/>
      <c r="E11" s="228"/>
      <c r="F11" s="228"/>
      <c r="G11" s="195"/>
    </row>
    <row r="12" spans="1:7">
      <c r="A12" s="227" t="s">
        <v>25</v>
      </c>
      <c r="C12" s="228"/>
      <c r="D12" s="228"/>
      <c r="E12" s="230">
        <v>1500</v>
      </c>
      <c r="F12" s="228"/>
      <c r="G12" s="195"/>
    </row>
    <row r="13" spans="1:7">
      <c r="A13" s="227" t="s">
        <v>60</v>
      </c>
      <c r="B13" s="230">
        <v>1810</v>
      </c>
      <c r="C13" s="228"/>
      <c r="D13" s="228"/>
      <c r="E13" s="228"/>
      <c r="F13" s="228"/>
      <c r="G13" s="195"/>
    </row>
    <row r="14" spans="1:7">
      <c r="A14" s="227" t="s">
        <v>15</v>
      </c>
      <c r="B14" s="230">
        <v>1270</v>
      </c>
      <c r="C14" s="228"/>
      <c r="D14" s="228"/>
      <c r="E14" s="230">
        <v>100</v>
      </c>
      <c r="F14" s="228"/>
      <c r="G14" s="195"/>
    </row>
    <row r="15" spans="1:7">
      <c r="A15" s="227" t="s">
        <v>61</v>
      </c>
      <c r="B15" s="228"/>
      <c r="C15" s="228"/>
      <c r="D15" s="228"/>
      <c r="E15" s="228"/>
      <c r="F15" s="228"/>
      <c r="G15" s="195"/>
    </row>
    <row r="16" spans="1:7">
      <c r="A16" s="227" t="s">
        <v>6</v>
      </c>
      <c r="B16" s="228"/>
      <c r="C16" s="228"/>
      <c r="D16" s="228"/>
      <c r="E16" s="228"/>
      <c r="F16" s="228"/>
      <c r="G16" s="195"/>
    </row>
    <row r="17" spans="1:7">
      <c r="A17" s="227" t="s">
        <v>39</v>
      </c>
      <c r="B17" s="228"/>
      <c r="C17" s="228"/>
      <c r="D17" s="228"/>
      <c r="E17" s="228"/>
      <c r="F17" s="228"/>
      <c r="G17" s="195"/>
    </row>
    <row r="18" spans="1:7">
      <c r="A18" s="227" t="s">
        <v>29</v>
      </c>
      <c r="B18" s="230">
        <v>236</v>
      </c>
      <c r="C18" s="228"/>
      <c r="D18" s="230">
        <v>250</v>
      </c>
      <c r="E18" s="228"/>
      <c r="F18" s="230">
        <v>300</v>
      </c>
      <c r="G18" s="195"/>
    </row>
    <row r="19" spans="1:7">
      <c r="A19" s="227" t="s">
        <v>37</v>
      </c>
      <c r="B19" s="228"/>
      <c r="C19" s="228"/>
      <c r="D19" s="228"/>
      <c r="E19" s="228"/>
      <c r="F19" s="228"/>
      <c r="G19" s="195"/>
    </row>
    <row r="20" spans="1:7">
      <c r="A20" s="227" t="s">
        <v>2</v>
      </c>
      <c r="B20" s="228"/>
      <c r="C20" s="228"/>
      <c r="D20" s="228"/>
      <c r="E20" s="228"/>
      <c r="F20" s="228"/>
      <c r="G20" s="195"/>
    </row>
    <row r="21" spans="1:7">
      <c r="A21" s="227" t="s">
        <v>3</v>
      </c>
      <c r="B21" s="228"/>
      <c r="C21" s="228"/>
      <c r="D21" s="228"/>
      <c r="E21" s="228"/>
      <c r="F21" s="228"/>
      <c r="G21" s="195"/>
    </row>
    <row r="22" spans="1:7">
      <c r="A22" s="227" t="s">
        <v>5</v>
      </c>
      <c r="B22" s="230">
        <v>5800</v>
      </c>
      <c r="C22" s="228"/>
      <c r="D22" s="228"/>
      <c r="E22" s="230">
        <v>5700</v>
      </c>
      <c r="F22" s="228"/>
      <c r="G22" s="195" t="s">
        <v>215</v>
      </c>
    </row>
    <row r="23" spans="1:7">
      <c r="A23" s="227" t="s">
        <v>23</v>
      </c>
      <c r="B23" s="228"/>
      <c r="C23" s="228"/>
      <c r="D23" s="228"/>
      <c r="E23" s="228">
        <v>1000</v>
      </c>
      <c r="F23" s="228"/>
      <c r="G23" s="195"/>
    </row>
    <row r="24" spans="1:7">
      <c r="A24" s="227" t="s">
        <v>40</v>
      </c>
      <c r="B24" s="228"/>
      <c r="C24" s="228"/>
      <c r="E24" s="230">
        <v>1200</v>
      </c>
      <c r="F24" s="228"/>
      <c r="G24" s="195"/>
    </row>
    <row r="25" spans="1:7">
      <c r="A25" s="227" t="s">
        <v>31</v>
      </c>
      <c r="B25" s="228">
        <v>600</v>
      </c>
      <c r="C25" s="228"/>
      <c r="D25" s="228"/>
      <c r="E25" s="228"/>
      <c r="F25" s="228"/>
      <c r="G25" s="195"/>
    </row>
    <row r="26" spans="1:7">
      <c r="A26" s="227" t="s">
        <v>64</v>
      </c>
      <c r="B26" s="228"/>
      <c r="C26" s="228"/>
      <c r="D26" s="228"/>
      <c r="E26" s="228"/>
      <c r="F26" s="228"/>
      <c r="G26" s="195"/>
    </row>
    <row r="27" spans="1:7">
      <c r="A27" s="227" t="s">
        <v>8</v>
      </c>
      <c r="B27" s="230">
        <v>2500</v>
      </c>
      <c r="C27" s="228"/>
      <c r="D27" s="228"/>
      <c r="E27" s="228"/>
      <c r="F27" s="228"/>
      <c r="G27" s="195"/>
    </row>
    <row r="28" spans="1:7">
      <c r="A28" s="227" t="s">
        <v>13</v>
      </c>
      <c r="B28" s="228"/>
      <c r="C28" s="228"/>
      <c r="D28" s="228"/>
      <c r="E28" s="228"/>
      <c r="F28" s="228"/>
      <c r="G28" s="195"/>
    </row>
    <row r="29" spans="1:7">
      <c r="A29" s="227" t="s">
        <v>4</v>
      </c>
      <c r="B29" s="230">
        <v>2170</v>
      </c>
      <c r="C29" s="228"/>
      <c r="D29" s="228"/>
      <c r="E29" s="230">
        <v>1200</v>
      </c>
      <c r="F29" s="228"/>
      <c r="G29" s="195"/>
    </row>
    <row r="30" spans="1:7">
      <c r="A30" s="227" t="s">
        <v>36</v>
      </c>
      <c r="B30" s="228"/>
      <c r="C30" s="228"/>
      <c r="D30" s="228"/>
      <c r="E30" s="228"/>
      <c r="F30" s="228"/>
      <c r="G30" s="195"/>
    </row>
    <row r="31" spans="1:7">
      <c r="A31" s="227" t="s">
        <v>18</v>
      </c>
      <c r="B31" s="228"/>
      <c r="C31" s="228"/>
      <c r="D31" s="228"/>
      <c r="E31" s="228"/>
      <c r="F31" s="228"/>
      <c r="G31" s="195"/>
    </row>
    <row r="32" spans="1:7">
      <c r="A32" s="227" t="s">
        <v>50</v>
      </c>
      <c r="B32" s="228"/>
      <c r="C32" s="228"/>
      <c r="D32" s="228"/>
      <c r="E32" s="228"/>
      <c r="F32" s="228"/>
      <c r="G32" s="195"/>
    </row>
    <row r="33" spans="1:7">
      <c r="A33" s="227" t="s">
        <v>24</v>
      </c>
      <c r="B33" s="228">
        <v>1200</v>
      </c>
      <c r="C33" s="228"/>
      <c r="D33" s="228"/>
      <c r="E33" s="228"/>
      <c r="F33" s="228"/>
      <c r="G33" s="195"/>
    </row>
    <row r="34" spans="1:7">
      <c r="A34" s="227" t="s">
        <v>21</v>
      </c>
      <c r="B34" s="228"/>
      <c r="C34" s="228"/>
      <c r="D34" s="228"/>
      <c r="E34" s="228"/>
      <c r="F34" s="228"/>
      <c r="G34" s="195"/>
    </row>
    <row r="35" spans="1:7">
      <c r="A35" s="227" t="s">
        <v>1</v>
      </c>
      <c r="B35" s="228"/>
      <c r="C35" s="228"/>
      <c r="D35" s="228"/>
      <c r="E35" s="228"/>
      <c r="F35" s="228"/>
      <c r="G35" s="195"/>
    </row>
    <row r="36" spans="1:7">
      <c r="A36" s="227" t="s">
        <v>26</v>
      </c>
      <c r="B36" s="228"/>
      <c r="C36" s="228"/>
      <c r="D36" s="228"/>
      <c r="E36" s="228"/>
      <c r="F36" s="228"/>
      <c r="G36" s="195"/>
    </row>
    <row r="37" spans="1:7">
      <c r="A37" s="227" t="s">
        <v>16</v>
      </c>
      <c r="B37" s="228"/>
      <c r="C37" s="228"/>
      <c r="D37" s="228"/>
      <c r="E37" s="228"/>
      <c r="F37" s="228"/>
      <c r="G37" s="195"/>
    </row>
    <row r="38" spans="1:7">
      <c r="A38" s="227" t="s">
        <v>27</v>
      </c>
      <c r="B38" s="228"/>
      <c r="C38" s="228"/>
      <c r="D38" s="228"/>
      <c r="E38" s="228"/>
      <c r="F38" s="228"/>
      <c r="G38" s="195"/>
    </row>
    <row r="39" spans="1:7">
      <c r="A39" s="227" t="s">
        <v>10</v>
      </c>
      <c r="B39" s="228"/>
      <c r="C39" s="228"/>
      <c r="D39" s="228"/>
      <c r="E39" s="228"/>
      <c r="F39" s="228"/>
      <c r="G39" s="195"/>
    </row>
    <row r="40" spans="1:7">
      <c r="A40" s="227" t="s">
        <v>17</v>
      </c>
      <c r="B40" s="228"/>
      <c r="C40" s="228"/>
      <c r="D40" s="228"/>
      <c r="E40" s="228"/>
      <c r="F40" s="228"/>
      <c r="G40" s="195"/>
    </row>
    <row r="41" spans="1:7">
      <c r="A41" s="227" t="s">
        <v>38</v>
      </c>
      <c r="B41" s="228"/>
      <c r="C41" s="228"/>
      <c r="D41" s="228"/>
      <c r="E41" s="228"/>
      <c r="F41" s="228"/>
      <c r="G41" s="195"/>
    </row>
    <row r="42" spans="1:7">
      <c r="A42" s="227" t="s">
        <v>217</v>
      </c>
      <c r="B42" s="228"/>
      <c r="C42" s="228"/>
      <c r="D42" s="228"/>
      <c r="E42" s="228"/>
      <c r="F42" s="228"/>
      <c r="G42" s="195"/>
    </row>
    <row r="43" spans="1:7">
      <c r="A43" s="227" t="s">
        <v>218</v>
      </c>
      <c r="B43" s="228">
        <v>3000</v>
      </c>
      <c r="C43" s="228">
        <v>1650</v>
      </c>
      <c r="D43" s="228"/>
      <c r="E43" s="228"/>
      <c r="F43" s="228"/>
      <c r="G43" s="195"/>
    </row>
    <row r="44" spans="1:7">
      <c r="A44" s="227" t="s">
        <v>219</v>
      </c>
      <c r="B44" s="228"/>
      <c r="C44" s="228"/>
      <c r="D44" s="228"/>
      <c r="E44" s="228"/>
      <c r="F44" s="228"/>
      <c r="G44" s="195"/>
    </row>
    <row r="45" spans="1:7">
      <c r="A45" s="227" t="s">
        <v>220</v>
      </c>
      <c r="B45" s="228"/>
      <c r="C45" s="228"/>
      <c r="D45" s="228"/>
      <c r="E45" s="228"/>
      <c r="F45" s="228"/>
      <c r="G45" s="195"/>
    </row>
    <row r="46" spans="1:7">
      <c r="A46" s="195" t="s">
        <v>154</v>
      </c>
      <c r="B46" s="228">
        <f>SUM(B4:B41)</f>
        <v>19097</v>
      </c>
      <c r="C46" s="228">
        <f t="shared" ref="C46:F46" si="0">SUM(C4:C41)</f>
        <v>1000</v>
      </c>
      <c r="D46" s="228">
        <f t="shared" si="0"/>
        <v>250</v>
      </c>
      <c r="E46" s="228">
        <f t="shared" si="0"/>
        <v>11100</v>
      </c>
      <c r="F46" s="228">
        <f t="shared" si="0"/>
        <v>800</v>
      </c>
      <c r="G46" s="195"/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총괄</vt:lpstr>
      <vt:lpstr>예산배정서</vt:lpstr>
      <vt:lpstr>일용임금</vt:lpstr>
      <vt:lpstr>일반수용비</vt:lpstr>
      <vt:lpstr>특근매식비</vt:lpstr>
      <vt:lpstr>임차비</vt:lpstr>
      <vt:lpstr>집배구수</vt:lpstr>
      <vt:lpstr>임차비 산출내역</vt:lpstr>
      <vt:lpstr>집중국 인원</vt:lpstr>
      <vt:lpstr>물량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2010사무용</dc:creator>
  <cp:lastModifiedBy>user</cp:lastModifiedBy>
  <cp:revision>160</cp:revision>
  <cp:lastPrinted>2017-09-11T06:29:07Z</cp:lastPrinted>
  <dcterms:created xsi:type="dcterms:W3CDTF">2011-08-18T07:16:56Z</dcterms:created>
  <dcterms:modified xsi:type="dcterms:W3CDTF">2018-01-30T05:32:15Z</dcterms:modified>
</cp:coreProperties>
</file>