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210"/>
  </x:bookViews>
  <x:sheets>
    <x:sheet name="통상" sheetId="1" r:id="rId4"/>
    <x:sheet name="소포" sheetId="2" r:id="rId5"/>
    <x:sheet name="EMS" sheetId="3" r:id="rId6"/>
    <x:sheet name="예금" sheetId="4" r:id="rId7"/>
    <x:sheet name="보험" sheetId="5" r:id="rId8"/>
  </x:sheets>
  <x:externalReferences>
    <x:externalReference r:id="rId9"/>
    <x:externalReference r:id="rId10"/>
  </x:externalReferences>
  <x:definedNames>
    <x:definedName name="_xlnm._FilterDatabase" localSheetId="2" hidden="1">EMS!$B$4:$F$4</x:definedName>
    <x:definedName name="당일실적" localSheetId="2">#REF!</x:definedName>
    <x:definedName name="당일실적">#REF!</x:definedName>
    <x:definedName name="순위" localSheetId="2">#REF!</x:definedName>
    <x:definedName name="순위">#REF!</x:definedName>
    <x:definedName name="전일실적" localSheetId="2">#REF!</x:definedName>
    <x:definedName name="전일실적">#REF!</x:definedName>
    <x:definedName name="증감" localSheetId="2">#REF!</x:definedName>
    <x:definedName name="증감">#REF!</x:definedName>
    <x:definedName name="_xlnm._FilterDatabase" localSheetId="4" hidden="1">보험!$C$6:$L$26</x:definedName>
    <x:definedName name="_xlnm._FilterDatabase" localSheetId="3" hidden="1">'[2]예금'!$B$4:$F$4</x:definedName>
    <x:definedName name="_xlnm.Print_Area" localSheetId="4">보험!$A$1:$L$28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<x:sst xmlns:r="http://schemas.openxmlformats.org/officeDocument/2006/relationships" xmlns:c="http://schemas.openxmlformats.org/drawingml/2006/chart" xmlns:x="http://schemas.openxmlformats.org/spreadsheetml/2006/main" count="221" uniqueCount="87">
  <x:si>
    <x:t xml:space="preserve">* 기간: 17.05.01. ~ 07.29. </x:t>
  </x:si>
  <x:si>
    <x:t>2017. 7월 예금사업 우수관서 선정 내역</x:t>
  </x:si>
  <x:si>
    <x:t>동대문</x:t>
  </x:si>
  <x:si>
    <x:t>국명</x:t>
  </x:si>
  <x:si>
    <x:t>서대문</x:t>
  </x:si>
  <x:si>
    <x:t>광화문</x:t>
  </x:si>
  <x:si>
    <x:t>서울중앙</x:t>
  </x:si>
  <x:si>
    <x:t>서울광진</x:t>
  </x:si>
  <x:si>
    <x:t>서울마포</x:t>
  </x:si>
  <x:si>
    <x:t>서울관악</x:t>
  </x:si>
  <x:si>
    <x:t>서울은평</x:t>
  </x:si>
  <x:si>
    <x:t>서울금천</x:t>
  </x:si>
  <x:si>
    <x:t>서울강남</x:t>
  </x:si>
  <x:si>
    <x:t>서울용산</x:t>
  </x:si>
  <x:si>
    <x:t>서울동작</x:t>
  </x:si>
  <x:si>
    <x:t>서울송파</x:t>
  </x:si>
  <x:si>
    <x:t>서울성북</x:t>
  </x:si>
  <x:si>
    <x:t>서울강동</x:t>
  </x:si>
  <x:si>
    <x:t>서울구로</x:t>
  </x:si>
  <x:si>
    <x:t>서울강서</x:t>
  </x:si>
  <x:si>
    <x:t>서울서초</x:t>
  </x:si>
  <x:si>
    <x:t>서울노원</x:t>
  </x:si>
  <x:si>
    <x:t>서울양천</x:t>
  </x:si>
  <x:si>
    <x:t>서울도봉</x:t>
  </x:si>
  <x:si>
    <x:t>개인접수</x:t>
  </x:si>
  <x:si>
    <x:t>이용률(%)</x:t>
  </x:si>
  <x:si>
    <x:t>(단위: 건)</x:t>
  </x:si>
  <x:si>
    <x:t>서울중랑</x:t>
  </x:si>
  <x:si>
    <x:t>서 대 문</x:t>
  </x:si>
  <x:si>
    <x:t>동 대 문</x:t>
  </x:si>
  <x:si>
    <x:t>성장률(%)</x:t>
  </x:si>
  <x:si>
    <x:t>스마트접수</x:t>
  </x:si>
  <x:si>
    <x:t>여 의 도</x:t>
  </x:si>
  <x:si>
    <x:t>총 성장률</x:t>
  </x:si>
  <x:si>
    <x:t>달성률
(A)</x:t>
  </x:si>
  <x:si>
    <x:t>광 화 문</x:t>
  </x:si>
  <x:si>
    <x:t>총괄국명</x:t>
  </x:si>
  <x:si>
    <x:t>준등기우편</x:t>
  </x:si>
  <x:si>
    <x:t>생활정보우편</x:t>
  </x:si>
  <x:si>
    <x:t>국제우편물류센터</x:t>
  </x:si>
  <x:si>
    <x:t>(단위:천원,%)</x:t>
  </x:si>
  <x:si>
    <x:t>(단위 : 통, 원)</x:t>
  </x:si>
  <x:si>
    <x:t>스마트접수 이용률</x:t>
  </x:si>
  <x:si>
    <x:t>체크카드(20%)</x:t>
  </x:si>
  <x:si>
    <x:t>수신고(20%)</x:t>
  </x:si>
  <x:si>
    <x:t>요구불(60%)</x:t>
  </x:si>
  <x:si>
    <x:t>환산점수
합계
(B)+(F)</x:t>
  </x:si>
  <x:si>
    <x:t>6월 보장성보험
(C)</x:t>
  </x:si>
  <x:si>
    <x:t>환산점수
(B)=A*50%</x:t>
  </x:si>
  <x:si>
    <x:t>7월 환산초회보험료(50%)</x:t>
  </x:si>
  <x:si>
    <x:t>7월 보장성보험
(D)</x:t>
  </x:si>
  <x:si>
    <x:t xml:space="preserve">□ 기간: 2017. 7월 </x:t>
  </x:si>
  <x:si>
    <x:t>환산점수
(F)=E*50%</x:t>
  </x:si>
  <x:si>
    <x:t>2017. 7월 통상분야 우수국</x:t>
  </x:si>
  <x:si>
    <x:t>EMS 스마트접수 총괄국별 실적현황</x:t>
  </x:si>
  <x:si>
    <x:t xml:space="preserve"> 전월대비 보장성보험 성장률(50%)</x:t>
  </x:si>
  <x:si>
    <x:t>실적성장률
(E)=D/D*100
-100)</x:t>
  </x:si>
  <x:si>
    <x:t>2017.7월 우수국 선정자료(보험)</x:t>
  </x:si>
  <x:si>
    <x:t>우체국</x:t>
  </x:si>
  <x:si>
    <x:t>점수</x:t>
  </x:si>
  <x:si>
    <x:t>계</x:t>
  </x:si>
  <x:si>
    <x:t>점 수</x:t>
  </x:si>
  <x:si>
    <x:t>-</x:t>
  </x:si>
  <x:si>
    <x:t>합계</x:t>
  </x:si>
  <x:si>
    <x:t>구분</x:t>
  </x:si>
  <x:si>
    <x:t>순위</x:t>
  </x:si>
  <x:si>
    <x:t>월목표</x:t>
  </x:si>
  <x:si>
    <x:t>실적</x:t>
  </x:si>
  <x:si>
    <x:t>여의도</x:t>
  </x:si>
  <x:si>
    <x:t>개별(반품) 픽업 물량</x:t>
  </x:si>
  <x:si>
    <x:t>2017년도 7월 소포사업 총괄국 부분별 우수국 현황</x:t>
  </x:si>
  <x:si>
    <x:t>※ 근무일수 : 2017년 7월 (21일), 2016년 7월(21일)</x:t>
  </x:si>
  <x:si>
    <x:t>구    분</x:t>
  </x:si>
  <x:si>
    <x:t>※ 2016년 물품지원실 창구등기 실적 이관(서울양천 -&gt; 동서울집)</x:t>
  </x:si>
  <x:si>
    <x:t>창구등기소포 물량</x:t>
  </x:si>
  <x:si>
    <x:t>(단위 : 통, %)</x:t>
  </x:si>
  <x:si>
    <x:t>증감률</x:t>
  </x:si>
  <x:si>
    <x:t>일평균</x:t>
  </x:si>
  <x:si>
    <x:t>국제물류</x:t>
  </x:si>
  <x:si>
    <x:t>소    계</x:t>
  </x:si>
  <x:si>
    <x:t>동서울집</x:t>
  </x:si>
  <x:si>
    <x:t>2016.7월</x:t>
  </x:si>
  <x:si>
    <x:t>합    계</x:t>
  </x:si>
  <x:si>
    <x:t>2017.7월</x:t>
  </x:si>
  <x:si>
    <x:t>무집배국</x:t>
  </x:si>
  <x:si>
    <x:t>해당사항 없음</x:t>
  </x:si>
  <x:si>
    <x:t>평가제외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</x:si>
</x:sst>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1">
    <x:numFmt numFmtId="164" formatCode="#,###,"/>
    <x:numFmt numFmtId="165" formatCode="#,##0_);[Red]\(#,##0\)"/>
    <x:numFmt numFmtId="166" formatCode="#,##0.0_);[Red]\(#,##0.0\)"/>
    <x:numFmt numFmtId="167" formatCode="0_);[Red]\(0\)"/>
    <x:numFmt numFmtId="168" formatCode="_-* #,##0.0_-;\-* #,##0.0_-;_-* &quot;-&quot;_-;_-@_-"/>
    <x:numFmt numFmtId="169" formatCode="#,##0.0;[Red]\△#,##0.0"/>
    <x:numFmt numFmtId="170" formatCode="0.00_ "/>
    <x:numFmt numFmtId="171" formatCode="0.0_ "/>
    <x:numFmt numFmtId="172" formatCode="0_ "/>
    <x:numFmt numFmtId="173" formatCode="#,##0.0_ "/>
    <x:numFmt numFmtId="174" formatCode="#,##0_ "/>
  </x:numFmts>
  <x:fonts count="3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Arial"/>
      <x:sz val="10"/>
      <x:color rgb="ff000000"/>
    </x:font>
    <x:font>
      <x:name val="Arial"/>
      <x:sz val="10"/>
      <x:color rgb="ff000000"/>
      <x:b val="1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0"/>
          <x:color rgb="ff000000"/>
        </x:font>
      </mc:Fallback>
    </mc:AlternateContent>
    <x:font>
      <x:name val="맑은 고딕"/>
      <x:sz val="12"/>
      <x:color rgb="ff000000"/>
    </x:font>
    <x:font>
      <x:name val="맑은 고딕"/>
      <x:sz val="12"/>
      <x:color rgb="ffffff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ff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ff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40404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40404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</x:fonts>
  <x:fills count="2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333333"/>
        <x:bgColor indexed="64"/>
      </x:patternFill>
    </x:fill>
    <x:fill>
      <x:patternFill patternType="solid">
        <x:fgColor rgb="ff003366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ff"/>
        <x:bgColor rgb="ffffffff"/>
      </x:patternFill>
    </x:fill>
    <x:fill>
      <x:patternFill patternType="solid">
        <x:fgColor rgb="ffc6daf1"/>
        <x:bgColor indexed="64"/>
      </x:patternFill>
    </x:fill>
    <x:fill>
      <x:patternFill patternType="solid">
        <x:fgColor rgb="ffd8ffd8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ffc000"/>
        <x:bgColor indexed="64"/>
      </x:patternFill>
    </x:fill>
  </x:fills>
  <x:borders count="40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double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rgb="ff000000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>
        <x:color rgb="ff000000"/>
      </x:right>
      <x:top style="thin">
        <x:color indexed="64"/>
      </x:top>
      <x:bottom style="medium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 style="medium">
        <x:color indexed="64"/>
      </x:bottom>
    </x:border>
    <x:border>
      <x:left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rgb="ff0070c0"/>
      </x:top>
      <x:bottom style="medium">
        <x:color rgb="ff0070c0"/>
      </x:bottom>
    </x:border>
    <x:border>
      <x:left style="thin">
        <x:color indexed="64"/>
      </x:left>
      <x:right>
        <x:color rgb="ff000000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>
        <x:color rgb="ff000000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double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>
        <x:color indexed="64"/>
      </x:right>
      <x:top style="double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double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indexed="64"/>
      </x:bottom>
    </x:border>
  </x:borders>
  <x:cellStyleXfs count="25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41" fontId="7" fillId="0" borderId="0">
      <x:alignment horizontal="general" vertical="bottom"/>
    </x:xf>
    <x:xf numFmtId="9" fontId="7" fillId="0" borderId="0">
      <x:alignment horizontal="general" vertical="bottom"/>
    </x:xf>
    <x:xf numFmtId="0" fontId="8" fillId="0" borderId="0">
      <x:alignment horizontal="general" vertical="center"/>
    </x:xf>
    <x:xf numFmtId="0" fontId="0" fillId="0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3" borderId="0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0" fontId="0" fillId="14" borderId="1">
      <x:alignment horizontal="general" vertical="center"/>
    </x:xf>
    <x:xf numFmtId="9" fontId="7" fillId="0" borderId="0">
      <x:alignment horizontal="general" vertical="bottom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7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8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9" fillId="0" borderId="0">
      <x:alignment horizontal="general" vertical="bottom"/>
    </x:xf>
    <x:xf numFmtId="41" fontId="0" fillId="0" borderId="0">
      <x:alignment horizontal="general" vertical="center"/>
    </x:xf>
  </x:cellStyleXfs>
  <x:cellXfs count="191">
    <x:xf numFmtId="0" fontId="0" fillId="0" borderId="0" xfId="0" applyNumberFormat="1">
      <x:alignment horizontal="general" vertical="center"/>
    </x:xf>
    <x:xf numFmtId="0" fontId="8" fillId="0" borderId="0" xfId="4" applyNumberFormat="1" applyFont="1" applyFill="1" applyBorder="1" applyAlignment="1" applyProtection="1">
      <x:alignment horizontal="general" vertical="center"/>
    </x:xf>
    <x:xf numFmtId="0" fontId="10" fillId="0" borderId="0" xfId="4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0" xfId="4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0" xfId="4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15" borderId="2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15" borderId="2" xfId="4" applyNumberFormat="1" applyFont="1" applyFill="1" applyBorder="1" applyAlignment="1" applyProtection="1">
          <x:alignment horizontal="center" vertical="center"/>
        </x:xf>
      </mc:Fallback>
    </mc:AlternateContent>
    <x:xf numFmtId="165" fontId="12" fillId="16" borderId="2" xfId="4" applyNumberFormat="1" applyFont="1" applyFill="1" applyBorder="1" applyAlignment="1" applyProtection="1">
      <x:alignment horizontal="general" vertical="center"/>
    </x:xf>
    <x:xf numFmtId="0" fontId="10" fillId="0" borderId="0" xfId="4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4" applyNumberFormat="1" applyFont="1" applyFill="1" applyBorder="1" applyAlignment="1" applyProtection="1">
          <x:alignment horizontal="center" vertical="center"/>
        </x:xf>
      </mc:Fallback>
    </mc:AlternateContent>
    <x:xf numFmtId="166" fontId="12" fillId="16" borderId="2" xfId="4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16" borderId="2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16" borderId="2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5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52" applyNumberFormat="1" applyAlignment="1">
          <x:alignment horizontal="center" vertical="center"/>
        </x:xf>
      </mc:Fallback>
    </mc:AlternateContent>
    <x:xf numFmtId="0" fontId="0" fillId="13" borderId="0" xfId="252" applyNumberFormat="1" applyFill="1" applyAlignment="1">
      <x:alignment horizontal="general" vertical="center"/>
    </x:xf>
    <x:xf numFmtId="0" fontId="0" fillId="17" borderId="0" xfId="252" applyNumberFormat="1" applyFill="1" applyAlignment="1">
      <x:alignment horizontal="general" vertical="center"/>
    </x:xf>
    <x:xf numFmtId="0" fontId="0" fillId="18" borderId="0" xfId="252" applyNumberFormat="1" applyFill="1" applyAlignment="1">
      <x:alignment horizontal="general" vertical="center"/>
    </x:xf>
    <x:xf numFmtId="0" fontId="0" fillId="19" borderId="0" xfId="252" applyNumberFormat="1" applyFill="1" applyAlignment="1">
      <x:alignment horizontal="general" vertical="center"/>
    </x:xf>
    <x:xf numFmtId="0" fontId="0" fillId="0" borderId="0" xfId="252" applyNumberFormat="1" applyAlignment="1">
      <x:alignment horizontal="general" vertical="center"/>
    </x:xf>
    <x:xf numFmtId="0" fontId="0" fillId="0" borderId="0" xfId="252" applyNumberFormat="1" applyFill="1" applyAlignment="1">
      <x:alignment horizontal="general" vertical="center"/>
    </x:xf>
    <x:xf numFmtId="0" fontId="13" fillId="19" borderId="0" xfId="252" applyNumberFormat="1" applyFont="1" applyFill="1" applyAlignment="1">
      <x:alignment horizontal="general" vertical="center"/>
    </x:xf>
    <x:xf numFmtId="0" fontId="14" fillId="0" borderId="0" xfId="252" applyNumberFormat="1" applyFont="1" applyAlignment="1">
      <x:alignment horizontal="general" vertical="center"/>
    </x:xf>
    <x:xf numFmtId="0" fontId="14" fillId="0" borderId="0" xfId="252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19" borderId="0" xfId="252" applyNumberForma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9" borderId="0" xfId="252" applyNumberForma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9" borderId="0" xfId="252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9" borderId="0" xfId="252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2" borderId="2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2" borderId="2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2" borderId="2" xfId="25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2" borderId="2" xfId="25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9" borderId="2" xfId="25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9" borderId="2" xfId="25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9" borderId="2" xfId="252" applyNumberFormat="1" applyFont="1" applyFill="1" applyBorder="1" applyAlignment="1" hs:applyExtension="1">
          <x:alignment horizontal="distributed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9" borderId="2" xfId="252" applyNumberFormat="1" applyFont="1" applyFill="1" applyBorder="1" applyAlignment="1">
          <x:alignment horizontal="distributed" vertical="center" shrinkToFit="1"/>
        </x:xf>
      </mc:Fallback>
    </mc:AlternateContent>
    <x:xf numFmtId="41" fontId="10" fillId="19" borderId="2" xfId="254" applyNumberFormat="1" applyFont="1" applyFill="1" applyBorder="1" applyAlignment="1">
      <x:alignment horizontal="general" vertical="center" shrinkToFit="1"/>
    </x:xf>
    <x:xf numFmtId="41" fontId="10" fillId="19" borderId="2" xfId="252" applyNumberFormat="1" applyFont="1" applyFill="1" applyBorder="1" applyAlignment="1">
      <x:alignment horizontal="general" vertical="center" shrinkToFit="1"/>
    </x:xf>
    <x:xf numFmtId="168" fontId="10" fillId="19" borderId="2" xfId="252" applyNumberFormat="1" applyFont="1" applyFill="1" applyBorder="1" applyAlignment="1">
      <x:alignment horizontal="general" vertical="center" shrinkToFit="1"/>
    </x:xf>
    <x:xf numFmtId="169" fontId="15" fillId="19" borderId="2" xfId="2" applyNumberFormat="1" applyFont="1" applyFill="1" applyBorder="1" applyAlignment="1">
      <x:alignment horizontal="general" vertical="center" shrinkToFit="1"/>
    </x:xf>
    <x:xf numFmtId="41" fontId="10" fillId="19" borderId="2" xfId="2" applyFont="1" applyFill="1" applyBorder="1" applyAlignment="1">
      <x:alignment horizontal="general" vertical="center" shrinkToFit="1"/>
    </x:xf>
    <x:xf numFmtId="168" fontId="15" fillId="19" borderId="2" xfId="252" applyNumberFormat="1" applyFont="1" applyFill="1" applyBorder="1" applyAlignment="1">
      <x:alignment horizontal="general" vertical="center" shrinkToFit="1"/>
    </x:xf>
    <x:xf numFmtId="168" fontId="15" fillId="7" borderId="2" xfId="25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8" fontId="10" fillId="19" borderId="2" xfId="25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0" fillId="19" borderId="2" xfId="252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5" fillId="19" borderId="2" xfId="252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5" fillId="19" borderId="2" xfId="252" applyNumberFormat="1" applyFont="1" applyFill="1" applyBorder="1" applyAlignment="1">
          <x:alignment horizontal="right" vertical="center" shrinkToFit="1"/>
        </x:xf>
      </mc:Fallback>
    </mc:AlternateContent>
    <x:xf numFmtId="41" fontId="10" fillId="7" borderId="2" xfId="254" applyNumberFormat="1" applyFont="1" applyFill="1" applyBorder="1" applyAlignment="1">
      <x:alignment horizontal="general" vertical="center" shrinkToFit="1"/>
    </x:xf>
    <x:xf numFmtId="41" fontId="10" fillId="7" borderId="2" xfId="252" applyNumberFormat="1" applyFont="1" applyFill="1" applyBorder="1" applyAlignment="1">
      <x:alignment horizontal="general" vertical="center" shrinkToFit="1"/>
    </x:xf>
    <x:xf numFmtId="168" fontId="10" fillId="7" borderId="2" xfId="252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8" fontId="10" fillId="7" borderId="2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0" fillId="7" borderId="2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16" borderId="2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16" borderId="2" xfId="4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0" xfId="4" applyNumberFormat="1" applyFont="1" applyFill="1" applyBorder="1" applyAlignment="1" applyProtection="1">
      <x:alignment horizontal="left" vertical="center"/>
    </x:xf>
    <x:xf numFmtId="0" fontId="10" fillId="19" borderId="0" xfId="4" applyNumberFormat="1" applyFont="1" applyFill="1" applyBorder="1" applyAlignment="1" applyProtection="1">
      <x:alignment horizontal="general" vertical="center"/>
    </x:xf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10" fillId="0" borderId="2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2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19" borderId="2" xfId="4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19" borderId="2" xfId="4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19" borderId="2" xfId="4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19" borderId="2" xfId="4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19" borderId="2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19" borderId="2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19" borderId="2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19" borderId="2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19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19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1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1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1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1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19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9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7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7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17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17" fillId="0" borderId="5" xfId="0" applyNumberFormat="1" applyFont="1" applyBorder="1" applyAlignment="1">
          <x:alignment horizontal="center" vertical="center"/>
        </x:xf>
      </mc:Fallback>
    </mc:AlternateContent>
    <x:xf numFmtId="0" fontId="18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4" xfId="0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4" xfId="0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9" borderId="1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9" borderId="1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19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19" borderId="12" xfId="0" applyFont="1" applyFill="1" applyBorder="1" applyAlignment="1" applyProtection="1">
          <x:alignment horizontal="center" vertical="center"/>
        </x:xf>
      </mc:Fallback>
    </mc:AlternateContent>
    <x:xf numFmtId="171" fontId="21" fillId="0" borderId="13" xfId="0" applyNumberFormat="1" applyFont="1" applyFill="1" applyBorder="1" applyAlignment="1" applyProtection="1">
      <x:alignment horizontal="general" vertical="bottom"/>
    </x:xf>
    <x:xf numFmtId="172" fontId="21" fillId="0" borderId="12" xfId="0" applyNumberFormat="1" applyFont="1" applyFill="1" applyBorder="1" applyAlignment="1" applyProtection="1">
      <x:alignment horizontal="general" vertical="bottom"/>
    </x:xf>
    <x:xf numFmtId="171" fontId="21" fillId="0" borderId="16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3" fillId="0" borderId="14" xfId="0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9" borderId="1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9" borderId="1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9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9" borderId="12" xfId="0" applyFont="1" applyFill="1" applyBorder="1" applyAlignment="1" applyProtection="1">
          <x:alignment horizontal="center" vertical="center"/>
        </x:xf>
      </mc:Fallback>
    </mc:AlternateContent>
    <x:xf numFmtId="171" fontId="23" fillId="0" borderId="13" xfId="0" applyNumberFormat="1" applyFont="1" applyFill="1" applyBorder="1" applyAlignment="1" applyProtection="1">
      <x:alignment horizontal="general" vertical="bottom"/>
    </x:xf>
    <x:xf numFmtId="172" fontId="23" fillId="0" borderId="12" xfId="0" applyNumberFormat="1" applyFont="1" applyFill="1" applyBorder="1" applyAlignment="1" applyProtection="1">
      <x:alignment horizontal="general" vertical="bottom"/>
    </x:xf>
    <x:xf numFmtId="171" fontId="23" fillId="0" borderId="16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3" fillId="0" borderId="17" xfId="0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7" xfId="0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9" borderId="1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9" borderId="1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9" borderId="19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9" borderId="19" xfId="0" applyFont="1" applyFill="1" applyBorder="1" applyAlignment="1" applyProtection="1">
          <x:alignment horizontal="center" vertical="center"/>
        </x:xf>
      </mc:Fallback>
    </mc:AlternateContent>
    <x:xf numFmtId="171" fontId="23" fillId="0" borderId="20" xfId="0" applyNumberFormat="1" applyFont="1" applyFill="1" applyBorder="1" applyAlignment="1" applyProtection="1">
      <x:alignment horizontal="general" vertical="bottom"/>
    </x:xf>
    <x:xf numFmtId="172" fontId="23" fillId="0" borderId="19" xfId="0" applyNumberFormat="1" applyFont="1" applyFill="1" applyBorder="1" applyAlignment="1" applyProtection="1">
      <x:alignment horizontal="general" vertical="bottom"/>
    </x:xf>
    <x:xf numFmtId="171" fontId="23" fillId="0" borderId="21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0" fillId="7" borderId="2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2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13" borderId="22" xfId="25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13" borderId="22" xfId="25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2" borderId="2" xfId="25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2" borderId="2" xfId="25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2" borderId="2" xfId="25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2" borderId="2" xfId="25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2" borderId="2" xfId="25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2" borderId="2" xfId="25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2" xfId="25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7" borderId="2" xfId="25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2" borderId="2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2" borderId="2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2" borderId="1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2" borderId="1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2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2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2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2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2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2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2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2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2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2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2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2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2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2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2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2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15" borderId="2" xfId="4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15" borderId="2" xfId="4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15" borderId="2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15" borderId="2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1" borderId="2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1" borderId="2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1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1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1" borderId="2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1" borderId="2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1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1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1" borderId="3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1" borderId="3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Font="1" applyBorder="1" applyAlignment="1">
          <x:alignment horizontal="center" vertical="center"/>
        </x:xf>
      </mc:Fallback>
    </mc:AlternateContent>
    <x:xf numFmtId="0" fontId="10" fillId="0" borderId="0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29" fillId="0" borderId="0" xfId="0" applyFont="1">
      <x:alignment horizontal="general" vertical="center"/>
    </x:xf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6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31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31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3" borderId="3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3" borderId="3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3" borderId="3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3" borderId="3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3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3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3" borderId="3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3" borderId="3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30" fillId="2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30" fillId="2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3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3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3" borderId="3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3" borderId="3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4" xfId="0" applyFont="1" applyFill="1" applyBorder="1" applyAlignment="1">
          <x:alignment horizontal="center" vertical="center"/>
        </x:xf>
      </mc:Fallback>
    </mc:AlternateContent>
    <x:xf numFmtId="41" fontId="30" fillId="0" borderId="4" xfId="227" applyFont="1" applyBorder="1">
      <x:alignment horizontal="general" vertical="bottom"/>
    </x:xf>
    <x:xf numFmtId="173" fontId="30" fillId="0" borderId="4" xfId="227" applyNumberFormat="1" applyFont="1" applyBorder="1">
      <x:alignment horizontal="general" vertical="bottom"/>
    </x:xf>
    <x:xf numFmtId="41" fontId="30" fillId="0" borderId="4" xfId="227" applyFont="1" applyFill="1" applyBorder="1" applyAlignment="1">
      <x:alignment horizontal="left" vertical="center"/>
    </x:xf>
    <x:xf numFmtId="41" fontId="30" fillId="0" borderId="0" xfId="227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30" fillId="0" borderId="4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4" xfId="0" applyFont="1" applyBorder="1" applyAlignment="1">
          <x:alignment horizontal="center" vertical="center" shrinkToFit="1"/>
        </x:xf>
      </mc:Fallback>
    </mc:AlternateContent>
    <x:xf numFmtId="41" fontId="30" fillId="0" borderId="4" xfId="227" applyFont="1" applyBorder="1" applyAlignment="1">
      <x:alignment horizontal="general" vertical="center" shrinkToFit="1"/>
    </x:xf>
    <x:xf numFmtId="173" fontId="30" fillId="0" borderId="4" xfId="227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4" fontId="30" fillId="0" borderId="4" xfId="227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30" fillId="0" borderId="4" xfId="227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2" xfId="0" applyFont="1" applyFill="1" applyBorder="1" applyAlignment="1">
          <x:alignment horizontal="center" vertical="center"/>
        </x:xf>
      </mc:Fallback>
    </mc:AlternateContent>
    <x:xf numFmtId="41" fontId="29" fillId="0" borderId="2" xfId="227" applyFont="1" applyBorder="1">
      <x:alignment horizontal="general" vertical="bottom"/>
    </x:xf>
    <x:xf numFmtId="173" fontId="29" fillId="0" borderId="2" xfId="227" applyNumberFormat="1" applyFont="1" applyBorder="1">
      <x:alignment horizontal="general" vertical="bottom"/>
    </x:xf>
    <x:xf numFmtId="41" fontId="30" fillId="0" borderId="2" xfId="227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9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2" xfId="0" applyFont="1" applyBorder="1" applyAlignment="1">
          <x:alignment horizontal="center" vertical="center" shrinkToFit="1"/>
        </x:xf>
      </mc:Fallback>
    </mc:AlternateContent>
    <x:xf numFmtId="41" fontId="29" fillId="0" borderId="2" xfId="227" applyFont="1" applyBorder="1" applyAlignment="1">
      <x:alignment horizontal="general" vertical="center" shrinkToFit="1"/>
    </x:xf>
    <x:xf numFmtId="173" fontId="29" fillId="0" borderId="2" xfId="227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74" fontId="30" fillId="0" borderId="2" xfId="227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30" fillId="0" borderId="2" xfId="227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29" fillId="0" borderId="2" xfId="227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29" fillId="0" borderId="2" xfId="227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2" xfId="227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2" xfId="227" applyFont="1" applyBorder="1" applyAlignment="1">
          <x:alignment horizontal="center" vertical="center" shrinkToFit="1"/>
        </x:xf>
      </mc:Fallback>
    </mc:AlternateContent>
    <x:xf numFmtId="41" fontId="30" fillId="23" borderId="10" xfId="227" applyFont="1" applyFill="1" applyBorder="1">
      <x:alignment horizontal="general" vertical="bottom"/>
    </x:xf>
    <x:xf numFmtId="173" fontId="30" fillId="23" borderId="10" xfId="227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30" fillId="23" borderId="10" xfId="227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23" borderId="10" xfId="227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3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3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2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23" borderId="10" xfId="0" applyNumberFormat="1" applyFont="1" applyFill="1" applyBorder="1" applyAlignment="1">
          <x:alignment horizontal="center" vertical="center" shrinkToFit="1"/>
        </x:xf>
      </mc:Fallback>
    </mc:AlternateContent>
    <x:xf numFmtId="173" fontId="30" fillId="23" borderId="10" xfId="227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29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4" xfId="0" applyFont="1" applyFill="1" applyBorder="1" applyAlignment="1">
          <x:alignment horizontal="center" vertical="center"/>
        </x:xf>
      </mc:Fallback>
    </mc:AlternateContent>
    <x:xf numFmtId="41" fontId="29" fillId="0" borderId="4" xfId="227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73" fontId="29" fillId="0" borderId="34" xfId="22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9" fillId="0" borderId="34" xfId="22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9" fillId="0" borderId="35" xfId="22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9" fillId="0" borderId="35" xfId="227" applyNumberFormat="1" applyFont="1" applyBorder="1" applyAlignment="1">
          <x:alignment horizontal="center" vertical="center"/>
        </x:xf>
      </mc:Fallback>
    </mc:AlternateContent>
    <x:xf numFmtId="41" fontId="29" fillId="0" borderId="0" xfId="227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9" fillId="0" borderId="34" xfId="227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34" xfId="227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36" xfId="227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36" xfId="227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35" xfId="227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35" xfId="227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10" xfId="0" applyFont="1" applyFill="1" applyBorder="1" applyAlignment="1">
          <x:alignment horizontal="center" vertical="center"/>
        </x:xf>
      </mc:Fallback>
    </mc:AlternateContent>
    <x:xf numFmtId="41" fontId="29" fillId="0" borderId="10" xfId="227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73" fontId="29" fillId="0" borderId="37" xfId="22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9" fillId="0" borderId="37" xfId="22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9" fillId="0" borderId="38" xfId="227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9" fillId="0" borderId="38" xfId="227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37" xfId="227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37" xfId="227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39" xfId="227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39" xfId="227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38" xfId="227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38" xfId="227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3" borderId="4" xfId="0" applyFont="1" applyFill="1" applyBorder="1" applyAlignment="1">
          <x:alignment horizontal="center" vertical="center"/>
        </x:xf>
      </mc:Fallback>
    </mc:AlternateContent>
    <x:xf numFmtId="41" fontId="30" fillId="23" borderId="4" xfId="227" applyFont="1" applyFill="1" applyBorder="1">
      <x:alignment horizontal="general" vertical="bottom"/>
    </x:xf>
    <x:xf numFmtId="173" fontId="30" fillId="23" borderId="4" xfId="227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9" fillId="2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3" borderId="4" xfId="0" applyFont="1" applyFill="1" applyBorder="1" applyAlignment="1">
          <x:alignment horizontal="center" vertical="center"/>
        </x:xf>
      </mc:Fallback>
    </mc:AlternateContent>
    <x:xf numFmtId="41" fontId="29" fillId="23" borderId="4" xfId="227" applyFont="1" applyFill="1" applyBorder="1">
      <x:alignment horizontal="general" vertical="bottom"/>
    </x:xf>
    <x:xf numFmtId="173" fontId="29" fillId="23" borderId="4" xfId="227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30" fillId="2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4" borderId="2" xfId="0" applyFont="1" applyFill="1" applyBorder="1" applyAlignment="1">
          <x:alignment horizontal="center" vertical="center"/>
        </x:xf>
      </mc:Fallback>
    </mc:AlternateContent>
    <x:xf numFmtId="41" fontId="30" fillId="24" borderId="2" xfId="0" applyNumberFormat="1" applyFont="1" applyFill="1" applyBorder="1">
      <x:alignment horizontal="general" vertical="center"/>
    </x:xf>
    <x:xf numFmtId="168" fontId="30" fillId="24" borderId="2" xfId="0" applyNumberFormat="1" applyFont="1" applyFill="1" applyBorder="1">
      <x:alignment horizontal="general" vertical="center"/>
    </x:xf>
    <x:xf numFmtId="41" fontId="30" fillId="0" borderId="0" xfId="0" applyNumberFormat="1" applyFont="1" applyFill="1" applyBorder="1">
      <x:alignment horizontal="general" vertical="center"/>
    </x:xf>
    <x:xf numFmtId="171" fontId="30" fillId="24" borderId="2" xfId="0" applyNumberFormat="1" applyFont="1" applyFill="1" applyBorder="1">
      <x:alignment horizontal="general" vertical="center"/>
    </x:xf>
    <x:xf numFmtId="0" fontId="30" fillId="24" borderId="2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" xfId="0" applyFont="1" applyBorder="1" applyAlignment="1">
          <x:alignment horizontal="center" vertical="center"/>
        </x:xf>
      </mc:Fallback>
    </mc:AlternateContent>
    <x:xf numFmtId="41" fontId="30" fillId="0" borderId="2" xfId="227" applyFont="1" applyBorder="1">
      <x:alignment horizontal="general" vertical="bottom"/>
    </x:xf>
    <x:xf numFmtId="173" fontId="30" fillId="0" borderId="2" xfId="227" applyNumberFormat="1" applyFont="1" applyBorder="1" applyAlignment="1">
      <x:alignment horizontal="general" vertical="center" shrinkToFit="1"/>
    </x:xf>
    <x:xf numFmtId="0" fontId="30" fillId="0" borderId="2" xfId="0" applyFont="1" applyBorder="1">
      <x:alignment horizontal="general" vertical="center"/>
    </x:xf>
    <x:xf numFmtId="0" fontId="30" fillId="0" borderId="0" xfId="0" applyFont="1" applyFill="1">
      <x:alignment horizontal="general" vertical="center"/>
    </x:xf>
    <x:xf numFmtId="0" fontId="29" fillId="0" borderId="0" xfId="0" applyFont="1" applyFill="1">
      <x:alignment horizontal="general" vertical="center"/>
    </x:xf>
  </x:cellXfs>
  <x:cellStyles count="255">
    <x:cellStyle name="20% - 강조색1 10" xfId="6"/>
    <x:cellStyle name="20% - 강조색1 11" xfId="7"/>
    <x:cellStyle name="20% - 강조색1 12" xfId="8"/>
    <x:cellStyle name="20% - 강조색1 13" xfId="9"/>
    <x:cellStyle name="20% - 강조색1 14" xfId="10"/>
    <x:cellStyle name="20% - 강조색1 15" xfId="11"/>
    <x:cellStyle name="20% - 강조색1 16" xfId="12"/>
    <x:cellStyle name="20% - 강조색1 17" xfId="13"/>
    <x:cellStyle name="20% - 강조색1 2" xfId="14"/>
    <x:cellStyle name="20% - 강조색1 3" xfId="15"/>
    <x:cellStyle name="20% - 강조색1 4" xfId="16"/>
    <x:cellStyle name="20% - 강조색1 5" xfId="17"/>
    <x:cellStyle name="20% - 강조색1 6" xfId="18"/>
    <x:cellStyle name="20% - 강조색1 7" xfId="19"/>
    <x:cellStyle name="20% - 강조색1 8" xfId="20"/>
    <x:cellStyle name="20% - 강조색1 9" xfId="21"/>
    <x:cellStyle name="20% - 강조색2 10" xfId="22"/>
    <x:cellStyle name="20% - 강조색2 11" xfId="23"/>
    <x:cellStyle name="20% - 강조색2 12" xfId="24"/>
    <x:cellStyle name="20% - 강조색2 13" xfId="25"/>
    <x:cellStyle name="20% - 강조색2 14" xfId="26"/>
    <x:cellStyle name="20% - 강조색2 15" xfId="27"/>
    <x:cellStyle name="20% - 강조색2 16" xfId="28"/>
    <x:cellStyle name="20% - 강조색2 17" xfId="29"/>
    <x:cellStyle name="20% - 강조색2 2" xfId="30"/>
    <x:cellStyle name="20% - 강조색2 3" xfId="31"/>
    <x:cellStyle name="20% - 강조색2 4" xfId="32"/>
    <x:cellStyle name="20% - 강조색2 5" xfId="33"/>
    <x:cellStyle name="20% - 강조색2 6" xfId="34"/>
    <x:cellStyle name="20% - 강조색2 7" xfId="35"/>
    <x:cellStyle name="20% - 강조색2 8" xfId="36"/>
    <x:cellStyle name="20% - 강조색2 9" xfId="37"/>
    <x:cellStyle name="20% - 강조색3 10" xfId="38"/>
    <x:cellStyle name="20% - 강조색3 11" xfId="39"/>
    <x:cellStyle name="20% - 강조색3 12" xfId="40"/>
    <x:cellStyle name="20% - 강조색3 13" xfId="41"/>
    <x:cellStyle name="20% - 강조색3 14" xfId="42"/>
    <x:cellStyle name="20% - 강조색3 15" xfId="43"/>
    <x:cellStyle name="20% - 강조색3 16" xfId="44"/>
    <x:cellStyle name="20% - 강조색3 17" xfId="45"/>
    <x:cellStyle name="20% - 강조색3 2" xfId="46"/>
    <x:cellStyle name="20% - 강조색3 3" xfId="47"/>
    <x:cellStyle name="20% - 강조색3 4" xfId="48"/>
    <x:cellStyle name="20% - 강조색3 5" xfId="49"/>
    <x:cellStyle name="20% - 강조색3 6" xfId="50"/>
    <x:cellStyle name="20% - 강조색3 7" xfId="51"/>
    <x:cellStyle name="20% - 강조색3 8" xfId="52"/>
    <x:cellStyle name="20% - 강조색3 9" xfId="53"/>
    <x:cellStyle name="20% - 강조색4 10" xfId="54"/>
    <x:cellStyle name="20% - 강조색4 11" xfId="55"/>
    <x:cellStyle name="20% - 강조색4 12" xfId="56"/>
    <x:cellStyle name="20% - 강조색4 13" xfId="57"/>
    <x:cellStyle name="20% - 강조색4 14" xfId="58"/>
    <x:cellStyle name="20% - 강조색4 15" xfId="59"/>
    <x:cellStyle name="20% - 강조색4 16" xfId="60"/>
    <x:cellStyle name="20% - 강조색4 17" xfId="61"/>
    <x:cellStyle name="20% - 강조색4 2" xfId="62"/>
    <x:cellStyle name="20% - 강조색4 3" xfId="63"/>
    <x:cellStyle name="20% - 강조색4 4" xfId="64"/>
    <x:cellStyle name="20% - 강조색4 5" xfId="65"/>
    <x:cellStyle name="20% - 강조색4 6" xfId="66"/>
    <x:cellStyle name="20% - 강조색4 7" xfId="67"/>
    <x:cellStyle name="20% - 강조색4 8" xfId="68"/>
    <x:cellStyle name="20% - 강조색4 9" xfId="69"/>
    <x:cellStyle name="20% - 강조색5 10" xfId="70"/>
    <x:cellStyle name="20% - 강조색5 11" xfId="71"/>
    <x:cellStyle name="20% - 강조색5 12" xfId="72"/>
    <x:cellStyle name="20% - 강조색5 13" xfId="73"/>
    <x:cellStyle name="20% - 강조색5 14" xfId="74"/>
    <x:cellStyle name="20% - 강조색5 15" xfId="75"/>
    <x:cellStyle name="20% - 강조색5 16" xfId="76"/>
    <x:cellStyle name="20% - 강조색5 17" xfId="77"/>
    <x:cellStyle name="20% - 강조색5 2" xfId="78"/>
    <x:cellStyle name="20% - 강조색5 3" xfId="79"/>
    <x:cellStyle name="20% - 강조색5 4" xfId="80"/>
    <x:cellStyle name="20% - 강조색5 5" xfId="81"/>
    <x:cellStyle name="20% - 강조색5 6" xfId="82"/>
    <x:cellStyle name="20% - 강조색5 7" xfId="83"/>
    <x:cellStyle name="20% - 강조색5 8" xfId="84"/>
    <x:cellStyle name="20% - 강조색5 9" xfId="85"/>
    <x:cellStyle name="20% - 강조색6 10" xfId="86"/>
    <x:cellStyle name="20% - 강조색6 11" xfId="87"/>
    <x:cellStyle name="20% - 강조색6 12" xfId="88"/>
    <x:cellStyle name="20% - 강조색6 13" xfId="89"/>
    <x:cellStyle name="20% - 강조색6 14" xfId="90"/>
    <x:cellStyle name="20% - 강조색6 15" xfId="91"/>
    <x:cellStyle name="20% - 강조색6 16" xfId="92"/>
    <x:cellStyle name="20% - 강조색6 17" xfId="93"/>
    <x:cellStyle name="20% - 강조색6 2" xfId="94"/>
    <x:cellStyle name="20% - 강조색6 3" xfId="95"/>
    <x:cellStyle name="20% - 강조색6 4" xfId="96"/>
    <x:cellStyle name="20% - 강조색6 5" xfId="97"/>
    <x:cellStyle name="20% - 강조색6 6" xfId="98"/>
    <x:cellStyle name="20% - 강조색6 7" xfId="99"/>
    <x:cellStyle name="20% - 강조색6 8" xfId="100"/>
    <x:cellStyle name="20% - 강조색6 9" xfId="101"/>
    <x:cellStyle name="40% - 강조색1 10" xfId="102"/>
    <x:cellStyle name="40% - 강조색1 11" xfId="103"/>
    <x:cellStyle name="40% - 강조색1 12" xfId="104"/>
    <x:cellStyle name="40% - 강조색1 13" xfId="105"/>
    <x:cellStyle name="40% - 강조색1 14" xfId="106"/>
    <x:cellStyle name="40% - 강조색1 15" xfId="107"/>
    <x:cellStyle name="40% - 강조색1 16" xfId="108"/>
    <x:cellStyle name="40% - 강조색1 17" xfId="109"/>
    <x:cellStyle name="40% - 강조색1 2" xfId="110"/>
    <x:cellStyle name="40% - 강조색1 3" xfId="111"/>
    <x:cellStyle name="40% - 강조색1 4" xfId="112"/>
    <x:cellStyle name="40% - 강조색1 5" xfId="113"/>
    <x:cellStyle name="40% - 강조색1 6" xfId="114"/>
    <x:cellStyle name="40% - 강조색1 7" xfId="115"/>
    <x:cellStyle name="40% - 강조색1 8" xfId="116"/>
    <x:cellStyle name="40% - 강조색1 9" xfId="117"/>
    <x:cellStyle name="40% - 강조색2 10" xfId="118"/>
    <x:cellStyle name="40% - 강조색2 11" xfId="119"/>
    <x:cellStyle name="40% - 강조색2 12" xfId="120"/>
    <x:cellStyle name="40% - 강조색2 13" xfId="121"/>
    <x:cellStyle name="40% - 강조색2 14" xfId="122"/>
    <x:cellStyle name="40% - 강조색2 15" xfId="123"/>
    <x:cellStyle name="40% - 강조색2 16" xfId="124"/>
    <x:cellStyle name="40% - 강조색2 17" xfId="125"/>
    <x:cellStyle name="40% - 강조색2 2" xfId="126"/>
    <x:cellStyle name="40% - 강조색2 3" xfId="127"/>
    <x:cellStyle name="40% - 강조색2 4" xfId="128"/>
    <x:cellStyle name="40% - 강조색2 5" xfId="129"/>
    <x:cellStyle name="40% - 강조색2 6" xfId="130"/>
    <x:cellStyle name="40% - 강조색2 7" xfId="131"/>
    <x:cellStyle name="40% - 강조색2 8" xfId="132"/>
    <x:cellStyle name="40% - 강조색2 9" xfId="133"/>
    <x:cellStyle name="40% - 강조색3 10" xfId="134"/>
    <x:cellStyle name="40% - 강조색3 11" xfId="135"/>
    <x:cellStyle name="40% - 강조색3 12" xfId="136"/>
    <x:cellStyle name="40% - 강조색3 13" xfId="137"/>
    <x:cellStyle name="40% - 강조색3 14" xfId="138"/>
    <x:cellStyle name="40% - 강조색3 15" xfId="139"/>
    <x:cellStyle name="40% - 강조색3 16" xfId="140"/>
    <x:cellStyle name="40% - 강조색3 17" xfId="141"/>
    <x:cellStyle name="40% - 강조색3 2" xfId="142"/>
    <x:cellStyle name="40% - 강조색3 3" xfId="143"/>
    <x:cellStyle name="40% - 강조색3 4" xfId="144"/>
    <x:cellStyle name="40% - 강조색3 5" xfId="145"/>
    <x:cellStyle name="40% - 강조색3 6" xfId="146"/>
    <x:cellStyle name="40% - 강조색3 7" xfId="147"/>
    <x:cellStyle name="40% - 강조색3 8" xfId="148"/>
    <x:cellStyle name="40% - 강조색3 9" xfId="149"/>
    <x:cellStyle name="40% - 강조색4 10" xfId="150"/>
    <x:cellStyle name="40% - 강조색4 11" xfId="151"/>
    <x:cellStyle name="40% - 강조색4 12" xfId="152"/>
    <x:cellStyle name="40% - 강조색4 13" xfId="153"/>
    <x:cellStyle name="40% - 강조색4 14" xfId="154"/>
    <x:cellStyle name="40% - 강조색4 15" xfId="155"/>
    <x:cellStyle name="40% - 강조색4 16" xfId="156"/>
    <x:cellStyle name="40% - 강조색4 17" xfId="157"/>
    <x:cellStyle name="40% - 강조색4 2" xfId="158"/>
    <x:cellStyle name="40% - 강조색4 3" xfId="159"/>
    <x:cellStyle name="40% - 강조색4 4" xfId="160"/>
    <x:cellStyle name="40% - 강조색4 5" xfId="161"/>
    <x:cellStyle name="40% - 강조색4 6" xfId="162"/>
    <x:cellStyle name="40% - 강조색4 7" xfId="163"/>
    <x:cellStyle name="40% - 강조색4 8" xfId="164"/>
    <x:cellStyle name="40% - 강조색4 9" xfId="165"/>
    <x:cellStyle name="40% - 강조색5 10" xfId="166"/>
    <x:cellStyle name="40% - 강조색5 11" xfId="167"/>
    <x:cellStyle name="40% - 강조색5 12" xfId="168"/>
    <x:cellStyle name="40% - 강조색5 13" xfId="169"/>
    <x:cellStyle name="40% - 강조색5 14" xfId="170"/>
    <x:cellStyle name="40% - 강조색5 15" xfId="171"/>
    <x:cellStyle name="40% - 강조색5 16" xfId="172"/>
    <x:cellStyle name="40% - 강조색5 17" xfId="173"/>
    <x:cellStyle name="40% - 강조색5 2" xfId="174"/>
    <x:cellStyle name="40% - 강조색5 3" xfId="175"/>
    <x:cellStyle name="40% - 강조색5 4" xfId="176"/>
    <x:cellStyle name="40% - 강조색5 5" xfId="177"/>
    <x:cellStyle name="40% - 강조색5 6" xfId="178"/>
    <x:cellStyle name="40% - 강조색5 7" xfId="179"/>
    <x:cellStyle name="40% - 강조색5 8" xfId="180"/>
    <x:cellStyle name="40% - 강조색5 9" xfId="181"/>
    <x:cellStyle name="40% - 강조색6 10" xfId="182"/>
    <x:cellStyle name="40% - 강조색6 11" xfId="183"/>
    <x:cellStyle name="40% - 강조색6 12" xfId="184"/>
    <x:cellStyle name="40% - 강조색6 13" xfId="185"/>
    <x:cellStyle name="40% - 강조색6 14" xfId="186"/>
    <x:cellStyle name="40% - 강조색6 15" xfId="187"/>
    <x:cellStyle name="40% - 강조색6 16" xfId="188"/>
    <x:cellStyle name="40% - 강조색6 17" xfId="189"/>
    <x:cellStyle name="40% - 강조색6 2" xfId="190"/>
    <x:cellStyle name="40% - 강조색6 3" xfId="191"/>
    <x:cellStyle name="40% - 강조색6 4" xfId="192"/>
    <x:cellStyle name="40% - 강조색6 5" xfId="193"/>
    <x:cellStyle name="40% - 강조색6 6" xfId="194"/>
    <x:cellStyle name="40% - 강조색6 7" xfId="195"/>
    <x:cellStyle name="40% - 강조색6 8" xfId="196"/>
    <x:cellStyle name="40% - 강조색6 9" xfId="197"/>
    <x:cellStyle name="메모 10" xfId="198"/>
    <x:cellStyle name="메모 11" xfId="199"/>
    <x:cellStyle name="메모 12" xfId="200"/>
    <x:cellStyle name="메모 13" xfId="201"/>
    <x:cellStyle name="메모 14" xfId="202"/>
    <x:cellStyle name="메모 15" xfId="203"/>
    <x:cellStyle name="메모 16" xfId="204"/>
    <x:cellStyle name="메모 17" xfId="205"/>
    <x:cellStyle name="메모 18" xfId="206"/>
    <x:cellStyle name="메모 19" xfId="207"/>
    <x:cellStyle name="메모 2" xfId="208"/>
    <x:cellStyle name="메모 20" xfId="209"/>
    <x:cellStyle name="메모 21" xfId="210"/>
    <x:cellStyle name="메모 22" xfId="211"/>
    <x:cellStyle name="메모 23" xfId="212"/>
    <x:cellStyle name="메모 24" xfId="213"/>
    <x:cellStyle name="메모 25" xfId="214"/>
    <x:cellStyle name="메모 26" xfId="215"/>
    <x:cellStyle name="메모 3" xfId="216"/>
    <x:cellStyle name="메모 4" xfId="217"/>
    <x:cellStyle name="메모 5" xfId="218"/>
    <x:cellStyle name="메모 6" xfId="219"/>
    <x:cellStyle name="메모 7" xfId="220"/>
    <x:cellStyle name="메모 8" xfId="221"/>
    <x:cellStyle name="메모 9" xfId="222"/>
    <x:cellStyle name="백분율 2" xfId="3"/>
    <x:cellStyle name="백분율 3" xfId="223"/>
    <x:cellStyle name="쉼표 [0] 2" xfId="2"/>
    <x:cellStyle name="쉼표 [0] 3" xfId="224"/>
    <x:cellStyle name="쉼표 [0] 4" xfId="225"/>
    <x:cellStyle name="쉼표 [0] 5" xfId="226"/>
    <x:cellStyle name="쉼표 [0] 6" xfId="227"/>
    <x:cellStyle xfId="0" builtinId="0"/>
    <x:cellStyle name="표준 10" xfId="228"/>
    <x:cellStyle name="표준 11" xfId="229"/>
    <x:cellStyle name="표준 12" xfId="230"/>
    <x:cellStyle name="표준 13" xfId="231"/>
    <x:cellStyle name="표준 14" xfId="232"/>
    <x:cellStyle name="표준 15" xfId="233"/>
    <x:cellStyle name="표준 16" xfId="234"/>
    <x:cellStyle name="표준 17" xfId="235"/>
    <x:cellStyle name="표준 18" xfId="236"/>
    <x:cellStyle name="표준 19" xfId="237"/>
    <x:cellStyle name="표준 2" xfId="1"/>
    <x:cellStyle name="표준 2 2" xfId="238"/>
    <x:cellStyle name="표준 20" xfId="239"/>
    <x:cellStyle name="표준 21" xfId="240"/>
    <x:cellStyle name="표준 22" xfId="241"/>
    <x:cellStyle name="표준 23" xfId="242"/>
    <x:cellStyle name="표준 24" xfId="243"/>
    <x:cellStyle name="표준 25" xfId="244"/>
    <x:cellStyle name="표준 26" xfId="245"/>
    <x:cellStyle name="표준 3" xfId="246"/>
    <x:cellStyle name="표준 3 2" xfId="4"/>
    <x:cellStyle name="표준 4" xfId="5"/>
    <x:cellStyle name="표준 5" xfId="247"/>
    <x:cellStyle name="표준 6" xfId="248"/>
    <x:cellStyle name="표준 7" xfId="249"/>
    <x:cellStyle name="표준 8" xfId="250"/>
    <x:cellStyle name="표준 9" xfId="251"/>
    <x:cellStyle name="표준 36" xfId="252"/>
    <x:cellStyle name="표준 4 2" xfId="253"/>
    <x:cellStyle name="쉼표 [0] 7" xfId="254"/>
  </x:cellStyles>
  <x:dxfs count="19">
    <x:dxf>
      <x:fill>
        <x:patternFill patternType="solid">
          <x:fgColor indexed="65"/>
          <x:bgColor rgb="ffff0000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2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2017&#45380;&#52509;&#44292;/5.&#51060;&#45804;&#51032;%20&#50864;&#49688;&#44397;/7&#50900;/2017.%207&#50900;%20&#51060;&#45804;&#51032;%20&#50864;&#49688;&#44397;%20&#49440;&#51221;%20&#51088;&#47308;(&#48372;&#54744;&#48516;&#50556;)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2017&#45380;&#52509;&#44292;/5.&#51060;&#45804;&#51032;%20&#50864;&#49688;&#44397;/7&#50900;/(&#48537;&#51076;)%20&#50696;&#44552;&#49324;&#50629;%20&#50864;&#49688;&#44288;&#49436;%20&#49440;&#51221;%20&#45236;&#50669;(2017.%207&#50900;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보험자료"/>
    </x:sheetNames>
    <x:sheetDataSet>
      <x:sheetData sheetId="0" refreshError="0">
        <x:row r="5">
          <x:cell r="B5" t="str" vm="0">
            <x:v>서울중앙</x:v>
          </x:cell>
          <x:cell r="C5" vm="0">
            <x:v>86622829</x:v>
          </x:cell>
          <x:cell r="D5" vm="0">
            <x:v>61574677</x:v>
          </x:cell>
          <x:cell r="F5" vm="0">
            <x:v>91456216</x:v>
          </x:cell>
          <x:cell r="G5" vm="0">
            <x:v>67576904</x:v>
          </x:cell>
        </x:row>
        <x:row r="6">
          <x:cell r="B6" t="str" vm="0">
            <x:v>서울용산</x:v>
          </x:cell>
          <x:cell r="C6" vm="0">
            <x:v>56418362</x:v>
          </x:cell>
          <x:cell r="D6" vm="0">
            <x:v>41188249</x:v>
          </x:cell>
          <x:cell r="F6" vm="0">
            <x:v>56505809</x:v>
          </x:cell>
          <x:cell r="G6" vm="0">
            <x:v>46232235</x:v>
          </x:cell>
        </x:row>
        <x:row r="7">
          <x:cell r="B7" t="str" vm="0">
            <x:v>광화문</x:v>
          </x:cell>
          <x:cell r="C7" vm="0">
            <x:v>82146755</x:v>
          </x:cell>
          <x:cell r="D7" vm="0">
            <x:v>69369183</x:v>
          </x:cell>
          <x:cell r="F7" vm="0">
            <x:v>77131778</x:v>
          </x:cell>
          <x:cell r="G7" vm="0">
            <x:v>59972870</x:v>
          </x:cell>
        </x:row>
        <x:row r="8">
          <x:cell r="B8" t="str" vm="0">
            <x:v>서울구로</x:v>
          </x:cell>
          <x:cell r="C8" vm="0">
            <x:v>20265022</x:v>
          </x:cell>
          <x:cell r="D8" vm="0">
            <x:v>15586822</x:v>
          </x:cell>
          <x:cell r="F8" vm="0">
            <x:v>21332961</x:v>
          </x:cell>
          <x:cell r="G8" vm="0">
            <x:v>14409561</x:v>
          </x:cell>
        </x:row>
        <x:row r="9">
          <x:cell r="B9" t="str" vm="0">
            <x:v>서울도봉</x:v>
          </x:cell>
          <x:cell r="C9" vm="0">
            <x:v>153266411</x:v>
          </x:cell>
          <x:cell r="D9" vm="0">
            <x:v>116992335</x:v>
          </x:cell>
          <x:cell r="F9" vm="0">
            <x:v>146581080</x:v>
          </x:cell>
          <x:cell r="G9" vm="0">
            <x:v>120062125</x:v>
          </x:cell>
        </x:row>
        <x:row r="10">
          <x:cell r="B10" t="str" vm="0">
            <x:v>동대문</x:v>
          </x:cell>
          <x:cell r="C10" vm="0">
            <x:v>56301568</x:v>
          </x:cell>
          <x:cell r="D10" vm="0">
            <x:v>43595471</x:v>
          </x:cell>
          <x:cell r="F10" vm="0">
            <x:v>69619235</x:v>
          </x:cell>
          <x:cell r="G10" vm="0">
            <x:v>55572322</x:v>
          </x:cell>
        </x:row>
        <x:row r="11">
          <x:cell r="B11" t="str" vm="0">
            <x:v>서울마포</x:v>
          </x:cell>
          <x:cell r="C11" vm="0">
            <x:v>56463132</x:v>
          </x:cell>
          <x:cell r="D11" vm="0">
            <x:v>43397772</x:v>
          </x:cell>
          <x:cell r="F11" vm="0">
            <x:v>61042332</x:v>
          </x:cell>
          <x:cell r="G11" vm="0">
            <x:v>49119549</x:v>
          </x:cell>
        </x:row>
        <x:row r="12">
          <x:cell r="B12" t="str" vm="0">
            <x:v>서울관악</x:v>
          </x:cell>
          <x:cell r="C12" vm="0">
            <x:v>74696836</x:v>
          </x:cell>
          <x:cell r="D12" vm="0">
            <x:v>63466192</x:v>
          </x:cell>
          <x:cell r="F12" vm="0">
            <x:v>76446030</x:v>
          </x:cell>
          <x:cell r="G12" vm="0">
            <x:v>69627246</x:v>
          </x:cell>
        </x:row>
        <x:row r="13">
          <x:cell r="B13" t="str" vm="0">
            <x:v>서울광진</x:v>
          </x:cell>
          <x:cell r="C13" vm="0">
            <x:v>83664835</x:v>
          </x:cell>
          <x:cell r="D13" vm="0">
            <x:v>66767153</x:v>
          </x:cell>
          <x:cell r="F13" vm="0">
            <x:v>102341829</x:v>
          </x:cell>
          <x:cell r="G13" vm="0">
            <x:v>87923083</x:v>
          </x:cell>
        </x:row>
        <x:row r="14">
          <x:cell r="B14" t="str" vm="0">
            <x:v>서울은평</x:v>
          </x:cell>
          <x:cell r="C14" vm="0">
            <x:v>51394200</x:v>
          </x:cell>
          <x:cell r="D14" vm="0">
            <x:v>36757964</x:v>
          </x:cell>
          <x:cell r="F14" vm="0">
            <x:v>53374343</x:v>
          </x:cell>
          <x:cell r="G14" vm="0">
            <x:v>40558327</x:v>
          </x:cell>
        </x:row>
        <x:row r="15">
          <x:cell r="B15" t="str" vm="0">
            <x:v>여의도</x:v>
          </x:cell>
          <x:cell r="C15" vm="0">
            <x:v>99485622</x:v>
          </x:cell>
          <x:cell r="D15" vm="0">
            <x:v>82220490</x:v>
          </x:cell>
          <x:cell r="F15" vm="0">
            <x:v>99973610</x:v>
          </x:cell>
          <x:cell r="G15" vm="0">
            <x:v>75632826</x:v>
          </x:cell>
        </x:row>
        <x:row r="16">
          <x:cell r="B16" t="str" vm="0">
            <x:v>서울강남</x:v>
          </x:cell>
          <x:cell r="C16" vm="0">
            <x:v>66349396</x:v>
          </x:cell>
          <x:cell r="D16" vm="0">
            <x:v>38779000</x:v>
          </x:cell>
          <x:cell r="F16" vm="0">
            <x:v>124099231</x:v>
          </x:cell>
          <x:cell r="G16" vm="0">
            <x:v>65108367</x:v>
          </x:cell>
        </x:row>
        <x:row r="17">
          <x:cell r="B17" t="str" vm="0">
            <x:v>서울중랑</x:v>
          </x:cell>
          <x:cell r="C17" vm="0">
            <x:v>87787450</x:v>
          </x:cell>
          <x:cell r="D17" vm="0">
            <x:v>74068641</x:v>
          </x:cell>
          <x:cell r="F17" vm="0">
            <x:v>77252757</x:v>
          </x:cell>
          <x:cell r="G17" vm="0">
            <x:v>63671267</x:v>
          </x:cell>
        </x:row>
        <x:row r="18">
          <x:cell r="B18" t="str" vm="0">
            <x:v>서울강동</x:v>
          </x:cell>
          <x:cell r="C18" vm="0">
            <x:v>72039420</x:v>
          </x:cell>
          <x:cell r="D18" vm="0">
            <x:v>59082606</x:v>
          </x:cell>
          <x:cell r="F18" vm="0">
            <x:v>82543835</x:v>
          </x:cell>
          <x:cell r="G18" vm="0">
            <x:v>64384351</x:v>
          </x:cell>
        </x:row>
        <x:row r="19">
          <x:cell r="B19" t="str" vm="0">
            <x:v>서울금천</x:v>
          </x:cell>
          <x:cell r="C19" vm="0">
            <x:v>72673951</x:v>
          </x:cell>
          <x:cell r="D19" vm="0">
            <x:v>58109069</x:v>
          </x:cell>
          <x:cell r="F19" vm="0">
            <x:v>118807068</x:v>
          </x:cell>
          <x:cell r="G19" vm="0">
            <x:v>81712067</x:v>
          </x:cell>
        </x:row>
        <x:row r="20">
          <x:cell r="B20" t="str" vm="0">
            <x:v>서울노원</x:v>
          </x:cell>
          <x:cell r="C20" vm="0">
            <x:v>81189001</x:v>
          </x:cell>
          <x:cell r="D20" vm="0">
            <x:v>66008779</x:v>
          </x:cell>
          <x:cell r="F20" vm="0">
            <x:v>68899563</x:v>
          </x:cell>
          <x:cell r="G20" vm="0">
            <x:v>56075237</x:v>
          </x:cell>
        </x:row>
        <x:row r="21">
          <x:cell r="B21" t="str" vm="0">
            <x:v>서울성북</x:v>
          </x:cell>
          <x:cell r="C21" vm="0">
            <x:v>68793997</x:v>
          </x:cell>
          <x:cell r="D21" vm="0">
            <x:v>56449760</x:v>
          </x:cell>
          <x:cell r="F21" vm="0">
            <x:v>83047510</x:v>
          </x:cell>
          <x:cell r="G21" vm="0">
            <x:v>69994297</x:v>
          </x:cell>
        </x:row>
        <x:row r="22">
          <x:cell r="B22" t="str" vm="0">
            <x:v>서울양천</x:v>
          </x:cell>
          <x:cell r="C22" vm="0">
            <x:v>76117984</x:v>
          </x:cell>
          <x:cell r="D22" vm="0">
            <x:v>68329649</x:v>
          </x:cell>
          <x:cell r="F22" vm="0">
            <x:v>97640164</x:v>
          </x:cell>
          <x:cell r="G22" vm="0">
            <x:v>86493887</x:v>
          </x:cell>
        </x:row>
        <x:row r="23">
          <x:cell r="B23" t="str" vm="0">
            <x:v>서울동작</x:v>
          </x:cell>
          <x:cell r="C23" vm="0">
            <x:v>49993470</x:v>
          </x:cell>
          <x:cell r="D23" vm="0">
            <x:v>43874220</x:v>
          </x:cell>
          <x:cell r="F23" vm="0">
            <x:v>55259364</x:v>
          </x:cell>
          <x:cell r="G23" vm="0">
            <x:v>42907891</x:v>
          </x:cell>
        </x:row>
        <x:row r="24">
          <x:cell r="B24" t="str" vm="0">
            <x:v>서대문</x:v>
          </x:cell>
          <x:cell r="C24" vm="0">
            <x:v>69020407</x:v>
          </x:cell>
          <x:cell r="D24" vm="0">
            <x:v>44904765</x:v>
          </x:cell>
          <x:cell r="F24" vm="0">
            <x:v>64374953</x:v>
          </x:cell>
          <x:cell r="G24" vm="0">
            <x:v>54901507</x:v>
          </x:cell>
        </x:row>
        <x:row r="25">
          <x:cell r="B25" t="str" vm="0">
            <x:v>서울서초</x:v>
          </x:cell>
          <x:cell r="C25" vm="0">
            <x:v>49105307</x:v>
          </x:cell>
          <x:cell r="D25" vm="0">
            <x:v>32347367</x:v>
          </x:cell>
          <x:cell r="F25" vm="0">
            <x:v>47497942</x:v>
          </x:cell>
          <x:cell r="G25" vm="0">
            <x:v>34689636</x:v>
          </x:cell>
        </x:row>
        <x:row r="26">
          <x:cell r="B26" t="str" vm="0">
            <x:v>서울송파</x:v>
          </x:cell>
          <x:cell r="C26" vm="0">
            <x:v>108292454</x:v>
          </x:cell>
          <x:cell r="D26" vm="0">
            <x:v>72451305</x:v>
          </x:cell>
          <x:cell r="F26" vm="0">
            <x:v>91536311</x:v>
          </x:cell>
          <x:cell r="G26" vm="0">
            <x:v>65741255</x:v>
          </x:cell>
        </x:row>
        <x:row r="27">
          <x:cell r="B27" t="str" vm="0">
            <x:v>서울강서</x:v>
          </x:cell>
          <x:cell r="C27" vm="0">
            <x:v>102193579</x:v>
          </x:cell>
          <x:cell r="D27" vm="0">
            <x:v>86073966</x:v>
          </x:cell>
          <x:cell r="F27" vm="0">
            <x:v>119562546</x:v>
          </x:cell>
          <x:cell r="G27" vm="0">
            <x:v>106407601</x:v>
          </x:cell>
        </x:row>
      </x:sheetData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예금"/>
    </x:sheetNames>
    <x:sheetDataSet>
      <x:sheetData sheetId="0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pageSetUpPr autoPageBreaks="1" fitToPage="1"/>
  </x:sheetPr>
  <x:dimension ref="A1:G28"/>
  <x:sheetViews>
    <x:sheetView tabSelected="1" showOutlineSymbols="0" defaultGridColor="0" topLeftCell="A1" colorId="22" zoomScaleNormal="100" workbookViewId="0">
      <x:selection activeCell="I17" activeCellId="0" sqref="I17:I17"/>
    </x:sheetView>
  </x:sheetViews>
  <x:sheetFormatPr defaultColWidth="9.140625" defaultRowHeight="16.399999999999999"/>
  <x:cols>
    <x:col min="1" max="1" width="8" customWidth="1"/>
    <x:col min="3" max="3" width="12" customWidth="1"/>
    <x:col min="4" max="6" width="11.75" customWidth="1"/>
    <x:col min="7" max="7" width="11.125" customWidth="1"/>
  </x:cols>
  <x:sheetData>
    <x:row r="1" spans="1:7" customFormat="1" ht="39" customHeight="1">
      <x:c r="A1" s="106" t="s">
        <x:v>53</x:v>
      </x:c>
      <x:c r="B1" s="106"/>
      <x:c r="C1" s="106"/>
      <x:c r="D1" s="106"/>
      <x:c r="E1" s="106"/>
      <x:c r="F1" s="106"/>
      <x:c r="G1" s="106"/>
    </x:row>
    <x:row r="2" spans="1:7" customFormat="1" ht="18" customHeight="1">
      <x:c r="A2" s="67"/>
      <x:c r="B2" s="67"/>
      <x:c r="C2" s="67"/>
      <x:c r="D2" s="67"/>
      <x:c r="E2" s="67"/>
      <x:c r="G2" s="68" t="s">
        <x:v>41</x:v>
      </x:c>
    </x:row>
    <x:row r="3" spans="1:7" ht="18.75" customHeight="1">
      <x:c r="A3" s="98" t="s">
        <x:v>65</x:v>
      </x:c>
      <x:c r="B3" s="96" t="s">
        <x:v>58</x:v>
      </x:c>
      <x:c r="C3" s="104" t="s">
        <x:v>38</x:v>
      </x:c>
      <x:c r="D3" s="105"/>
      <x:c r="E3" s="102" t="s">
        <x:v>37</x:v>
      </x:c>
      <x:c r="F3" s="103"/>
      <x:c r="G3" s="100" t="s">
        <x:v>60</x:v>
      </x:c>
    </x:row>
    <x:row r="4" spans="1:7" ht="19.5" customHeight="1">
      <x:c r="A4" s="99"/>
      <x:c r="B4" s="97" t="s">
        <x:v>64</x:v>
      </x:c>
      <x:c r="C4" s="69" t="s">
        <x:v>65</x:v>
      </x:c>
      <x:c r="D4" s="70" t="s">
        <x:v>61</x:v>
      </x:c>
      <x:c r="E4" s="69" t="s">
        <x:v>65</x:v>
      </x:c>
      <x:c r="F4" s="71" t="s">
        <x:v>59</x:v>
      </x:c>
      <x:c r="G4" s="101"/>
    </x:row>
    <x:row r="5" spans="1:7" ht="23.25" customHeight="1">
      <x:c r="A5" s="72">
        <x:v>1</x:v>
      </x:c>
      <x:c r="B5" s="73" t="s">
        <x:v>12</x:v>
      </x:c>
      <x:c r="C5" s="74">
        <x:v>2</x:v>
      </x:c>
      <x:c r="D5" s="75">
        <x:v>49.5</x:v>
      </x:c>
      <x:c r="E5" s="76">
        <x:v>1</x:v>
      </x:c>
      <x:c r="F5" s="75">
        <x:v>50</x:v>
      </x:c>
      <x:c r="G5" s="77">
        <x:f>SUM(D5,F5)</x:f>
        <x:v>99.5</x:v>
      </x:c>
    </x:row>
    <x:row r="6" spans="1:7" ht="23.25" customHeight="1">
      <x:c r="A6" s="78">
        <x:v>2</x:v>
      </x:c>
      <x:c r="B6" s="79" t="s">
        <x:v>7</x:v>
      </x:c>
      <x:c r="C6" s="80">
        <x:v>5</x:v>
      </x:c>
      <x:c r="D6" s="81">
        <x:v>48</x:v>
      </x:c>
      <x:c r="E6" s="82">
        <x:v>5</x:v>
      </x:c>
      <x:c r="F6" s="81">
        <x:v>48</x:v>
      </x:c>
      <x:c r="G6" s="83">
        <x:f>SUM(D6,F6)</x:f>
        <x:v>96</x:v>
      </x:c>
    </x:row>
    <x:row r="7" spans="1:7" ht="23.25" customHeight="1">
      <x:c r="A7" s="78">
        <x:v>3</x:v>
      </x:c>
      <x:c r="B7" s="79" t="s">
        <x:v>21</x:v>
      </x:c>
      <x:c r="C7" s="80">
        <x:v>1</x:v>
      </x:c>
      <x:c r="D7" s="81">
        <x:v>50</x:v>
      </x:c>
      <x:c r="E7" s="82">
        <x:v>10</x:v>
      </x:c>
      <x:c r="F7" s="81">
        <x:v>45.5</x:v>
      </x:c>
      <x:c r="G7" s="83">
        <x:f>SUM(D7,F7)</x:f>
        <x:v>95.5</x:v>
      </x:c>
    </x:row>
    <x:row r="8" spans="1:7" ht="23.25" customHeight="1">
      <x:c r="A8" s="78">
        <x:v>4</x:v>
      </x:c>
      <x:c r="B8" s="79" t="s">
        <x:v>8</x:v>
      </x:c>
      <x:c r="C8" s="80">
        <x:v>3</x:v>
      </x:c>
      <x:c r="D8" s="81">
        <x:v>49</x:v>
      </x:c>
      <x:c r="E8" s="82">
        <x:v>9</x:v>
      </x:c>
      <x:c r="F8" s="81">
        <x:v>46</x:v>
      </x:c>
      <x:c r="G8" s="83">
        <x:f>SUM(D8,F8)</x:f>
        <x:v>95</x:v>
      </x:c>
    </x:row>
    <x:row r="9" spans="1:7" ht="23.25" customHeight="1">
      <x:c r="A9" s="78">
        <x:v>5</x:v>
      </x:c>
      <x:c r="B9" s="79" t="s">
        <x:v>20</x:v>
      </x:c>
      <x:c r="C9" s="80">
        <x:v>10</x:v>
      </x:c>
      <x:c r="D9" s="81">
        <x:v>45.5</x:v>
      </x:c>
      <x:c r="E9" s="82">
        <x:v>2</x:v>
      </x:c>
      <x:c r="F9" s="81">
        <x:v>49.5</x:v>
      </x:c>
      <x:c r="G9" s="83">
        <x:f>SUM(D9,F9)</x:f>
        <x:v>95</x:v>
      </x:c>
    </x:row>
    <x:row r="10" spans="1:7" ht="23.25" customHeight="1">
      <x:c r="A10" s="78">
        <x:v>6</x:v>
      </x:c>
      <x:c r="B10" s="79" t="s">
        <x:v>19</x:v>
      </x:c>
      <x:c r="C10" s="80">
        <x:v>7</x:v>
      </x:c>
      <x:c r="D10" s="81">
        <x:v>47</x:v>
      </x:c>
      <x:c r="E10" s="82">
        <x:v>6</x:v>
      </x:c>
      <x:c r="F10" s="81">
        <x:v>47.5</x:v>
      </x:c>
      <x:c r="G10" s="83">
        <x:f>SUM(D10,F10)</x:f>
        <x:v>94.5</x:v>
      </x:c>
    </x:row>
    <x:row r="11" spans="1:7" ht="23.25" customHeight="1">
      <x:c r="A11" s="78">
        <x:v>7</x:v>
      </x:c>
      <x:c r="B11" s="79" t="s">
        <x:v>15</x:v>
      </x:c>
      <x:c r="C11" s="80">
        <x:v>4</x:v>
      </x:c>
      <x:c r="D11" s="81">
        <x:v>48.5</x:v>
      </x:c>
      <x:c r="E11" s="82">
        <x:v>12</x:v>
      </x:c>
      <x:c r="F11" s="81">
        <x:v>44.5</x:v>
      </x:c>
      <x:c r="G11" s="83">
        <x:f>SUM(D11,F11)</x:f>
        <x:v>93</x:v>
      </x:c>
    </x:row>
    <x:row r="12" spans="1:7" ht="23.25" customHeight="1">
      <x:c r="A12" s="78">
        <x:v>8</x:v>
      </x:c>
      <x:c r="B12" s="79" t="s">
        <x:v>5</x:v>
      </x:c>
      <x:c r="C12" s="80">
        <x:v>20</x:v>
      </x:c>
      <x:c r="D12" s="81">
        <x:v>40.5</x:v>
      </x:c>
      <x:c r="E12" s="82">
        <x:v>3</x:v>
      </x:c>
      <x:c r="F12" s="81">
        <x:v>49</x:v>
      </x:c>
      <x:c r="G12" s="83">
        <x:f>SUM(D12,F12)</x:f>
        <x:v>89.5</x:v>
      </x:c>
    </x:row>
    <x:row r="13" spans="1:7" ht="23.25" customHeight="1">
      <x:c r="A13" s="78">
        <x:v>9</x:v>
      </x:c>
      <x:c r="B13" s="79" t="s">
        <x:v>9</x:v>
      </x:c>
      <x:c r="C13" s="80">
        <x:v>19</x:v>
      </x:c>
      <x:c r="D13" s="81">
        <x:v>41</x:v>
      </x:c>
      <x:c r="E13" s="82">
        <x:v>4</x:v>
      </x:c>
      <x:c r="F13" s="81">
        <x:v>48.5</x:v>
      </x:c>
      <x:c r="G13" s="83">
        <x:f>SUM(D13,F13)</x:f>
        <x:v>89.5</x:v>
      </x:c>
    </x:row>
    <x:row r="14" spans="1:7" ht="23.25" customHeight="1">
      <x:c r="A14" s="78">
        <x:v>10</x:v>
      </x:c>
      <x:c r="B14" s="79" t="s">
        <x:v>17</x:v>
      </x:c>
      <x:c r="C14" s="80">
        <x:v>13</x:v>
      </x:c>
      <x:c r="D14" s="81">
        <x:v>44</x:v>
      </x:c>
      <x:c r="E14" s="82">
        <x:v>11</x:v>
      </x:c>
      <x:c r="F14" s="81">
        <x:v>45</x:v>
      </x:c>
      <x:c r="G14" s="83">
        <x:f>SUM(D14,F14)</x:f>
        <x:v>89</x:v>
      </x:c>
    </x:row>
    <x:row r="15" spans="1:7" ht="23.25" customHeight="1">
      <x:c r="A15" s="78">
        <x:v>11</x:v>
      </x:c>
      <x:c r="B15" s="79" t="s">
        <x:v>68</x:v>
      </x:c>
      <x:c r="C15" s="80">
        <x:v>9</x:v>
      </x:c>
      <x:c r="D15" s="81">
        <x:v>46</x:v>
      </x:c>
      <x:c r="E15" s="82">
        <x:v>15</x:v>
      </x:c>
      <x:c r="F15" s="81">
        <x:v>43</x:v>
      </x:c>
      <x:c r="G15" s="83">
        <x:f>SUM(D15,F15)</x:f>
        <x:v>89</x:v>
      </x:c>
    </x:row>
    <x:row r="16" spans="1:7" ht="23.25" customHeight="1">
      <x:c r="A16" s="78">
        <x:v>12</x:v>
      </x:c>
      <x:c r="B16" s="79" t="s">
        <x:v>4</x:v>
      </x:c>
      <x:c r="C16" s="80">
        <x:v>18</x:v>
      </x:c>
      <x:c r="D16" s="81">
        <x:v>41.5</x:v>
      </x:c>
      <x:c r="E16" s="82">
        <x:v>7</x:v>
      </x:c>
      <x:c r="F16" s="81">
        <x:v>47</x:v>
      </x:c>
      <x:c r="G16" s="83">
        <x:f>SUM(D16,F16)</x:f>
        <x:v>88.5</x:v>
      </x:c>
    </x:row>
    <x:row r="17" spans="1:7" ht="23.25" customHeight="1">
      <x:c r="A17" s="78">
        <x:v>13</x:v>
      </x:c>
      <x:c r="B17" s="79" t="s">
        <x:v>18</x:v>
      </x:c>
      <x:c r="C17" s="80">
        <x:v>17</x:v>
      </x:c>
      <x:c r="D17" s="81">
        <x:v>42</x:v>
      </x:c>
      <x:c r="E17" s="82">
        <x:v>8</x:v>
      </x:c>
      <x:c r="F17" s="81">
        <x:v>46.5</x:v>
      </x:c>
      <x:c r="G17" s="83">
        <x:f>SUM(D17,F17)</x:f>
        <x:v>88.5</x:v>
      </x:c>
    </x:row>
    <x:row r="18" spans="1:7" ht="23.25" customHeight="1">
      <x:c r="A18" s="78">
        <x:v>14</x:v>
      </x:c>
      <x:c r="B18" s="79" t="s">
        <x:v>22</x:v>
      </x:c>
      <x:c r="C18" s="80">
        <x:v>12</x:v>
      </x:c>
      <x:c r="D18" s="81">
        <x:v>44.5</x:v>
      </x:c>
      <x:c r="E18" s="82">
        <x:v>13</x:v>
      </x:c>
      <x:c r="F18" s="81">
        <x:v>44</x:v>
      </x:c>
      <x:c r="G18" s="83">
        <x:f>SUM(D18,F18)</x:f>
        <x:v>88.5</x:v>
      </x:c>
    </x:row>
    <x:row r="19" spans="1:7" ht="23.25" customHeight="1">
      <x:c r="A19" s="78">
        <x:v>15</x:v>
      </x:c>
      <x:c r="B19" s="79" t="s">
        <x:v>13</x:v>
      </x:c>
      <x:c r="C19" s="80">
        <x:v>6</x:v>
      </x:c>
      <x:c r="D19" s="81">
        <x:v>47.5</x:v>
      </x:c>
      <x:c r="E19" s="82">
        <x:v>20</x:v>
      </x:c>
      <x:c r="F19" s="81">
        <x:v>40.5</x:v>
      </x:c>
      <x:c r="G19" s="83">
        <x:f>SUM(D19,F19)</x:f>
        <x:v>88</x:v>
      </x:c>
    </x:row>
    <x:row r="20" spans="1:7" ht="23.25" customHeight="1">
      <x:c r="A20" s="78">
        <x:v>16</x:v>
      </x:c>
      <x:c r="B20" s="79" t="s">
        <x:v>10</x:v>
      </x:c>
      <x:c r="C20" s="80">
        <x:v>8</x:v>
      </x:c>
      <x:c r="D20" s="81">
        <x:v>46.5</x:v>
      </x:c>
      <x:c r="E20" s="82">
        <x:v>18</x:v>
      </x:c>
      <x:c r="F20" s="81">
        <x:v>41.5</x:v>
      </x:c>
      <x:c r="G20" s="83">
        <x:f>SUM(D20,F20)</x:f>
        <x:v>88</x:v>
      </x:c>
    </x:row>
    <x:row r="21" spans="1:7" ht="23.25" customHeight="1">
      <x:c r="A21" s="78">
        <x:v>17</x:v>
      </x:c>
      <x:c r="B21" s="79" t="s">
        <x:v>16</x:v>
      </x:c>
      <x:c r="C21" s="80">
        <x:v>11</x:v>
      </x:c>
      <x:c r="D21" s="81">
        <x:v>45</x:v>
      </x:c>
      <x:c r="E21" s="82">
        <x:v>16</x:v>
      </x:c>
      <x:c r="F21" s="81">
        <x:v>42.5</x:v>
      </x:c>
      <x:c r="G21" s="83">
        <x:f>SUM(D21,F21)</x:f>
        <x:v>87.5</x:v>
      </x:c>
    </x:row>
    <x:row r="22" spans="1:7" ht="23.25" customHeight="1">
      <x:c r="A22" s="78">
        <x:v>18</x:v>
      </x:c>
      <x:c r="B22" s="79" t="s">
        <x:v>23</x:v>
      </x:c>
      <x:c r="C22" s="80">
        <x:v>16</x:v>
      </x:c>
      <x:c r="D22" s="81">
        <x:v>42.5</x:v>
      </x:c>
      <x:c r="E22" s="82">
        <x:v>17</x:v>
      </x:c>
      <x:c r="F22" s="81">
        <x:v>42</x:v>
      </x:c>
      <x:c r="G22" s="83">
        <x:f>SUM(D22,F22)</x:f>
        <x:v>84.5</x:v>
      </x:c>
    </x:row>
    <x:row r="23" spans="1:7" ht="23.25" customHeight="1">
      <x:c r="A23" s="78">
        <x:v>19</x:v>
      </x:c>
      <x:c r="B23" s="79" t="s">
        <x:v>14</x:v>
      </x:c>
      <x:c r="C23" s="80">
        <x:v>14</x:v>
      </x:c>
      <x:c r="D23" s="81">
        <x:v>43.5</x:v>
      </x:c>
      <x:c r="E23" s="82">
        <x:v>19</x:v>
      </x:c>
      <x:c r="F23" s="81">
        <x:v>41</x:v>
      </x:c>
      <x:c r="G23" s="83">
        <x:f>SUM(D23,F23)</x:f>
        <x:v>84.5</x:v>
      </x:c>
    </x:row>
    <x:row r="24" spans="1:7" ht="23.25" customHeight="1">
      <x:c r="A24" s="78">
        <x:v>20</x:v>
      </x:c>
      <x:c r="B24" s="79" t="s">
        <x:v>2</x:v>
      </x:c>
      <x:c r="C24" s="80">
        <x:v>22</x:v>
      </x:c>
      <x:c r="D24" s="81">
        <x:v>39.5</x:v>
      </x:c>
      <x:c r="E24" s="82">
        <x:v>14</x:v>
      </x:c>
      <x:c r="F24" s="81">
        <x:v>43.5</x:v>
      </x:c>
      <x:c r="G24" s="83">
        <x:f>SUM(D24,F24)</x:f>
        <x:v>83</x:v>
      </x:c>
    </x:row>
    <x:row r="25" spans="1:7" ht="23.25" customHeight="1">
      <x:c r="A25" s="78">
        <x:v>21</x:v>
      </x:c>
      <x:c r="B25" s="79" t="s">
        <x:v>27</x:v>
      </x:c>
      <x:c r="C25" s="80">
        <x:v>15</x:v>
      </x:c>
      <x:c r="D25" s="81">
        <x:v>43</x:v>
      </x:c>
      <x:c r="E25" s="82">
        <x:v>21</x:v>
      </x:c>
      <x:c r="F25" s="81">
        <x:v>40</x:v>
      </x:c>
      <x:c r="G25" s="83">
        <x:f>SUM(D25,F25)</x:f>
        <x:v>83</x:v>
      </x:c>
    </x:row>
    <x:row r="26" spans="1:7" ht="23.25" customHeight="1">
      <x:c r="A26" s="78">
        <x:v>22</x:v>
      </x:c>
      <x:c r="B26" s="79" t="s">
        <x:v>6</x:v>
      </x:c>
      <x:c r="C26" s="80">
        <x:v>21</x:v>
      </x:c>
      <x:c r="D26" s="81">
        <x:v>40</x:v>
      </x:c>
      <x:c r="E26" s="82">
        <x:v>23</x:v>
      </x:c>
      <x:c r="F26" s="81">
        <x:v>39</x:v>
      </x:c>
      <x:c r="G26" s="83">
        <x:f>SUM(D26,F26)</x:f>
        <x:v>79</x:v>
      </x:c>
    </x:row>
    <x:row r="27" spans="1:7" ht="23.25" customHeight="1">
      <x:c r="A27" s="84">
        <x:v>23</x:v>
      </x:c>
      <x:c r="B27" s="85" t="s">
        <x:v>11</x:v>
      </x:c>
      <x:c r="C27" s="86">
        <x:v>23</x:v>
      </x:c>
      <x:c r="D27" s="87">
        <x:v>39</x:v>
      </x:c>
      <x:c r="E27" s="88">
        <x:v>22</x:v>
      </x:c>
      <x:c r="F27" s="87">
        <x:v>39.5</x:v>
      </x:c>
      <x:c r="G27" s="89">
        <x:f>SUM(D27,F27)</x:f>
        <x:v>78.5</x:v>
      </x:c>
    </x:row>
    <x:row r="28" spans="2:5">
      <x:c r="B28" s="67"/>
      <x:c r="C28" s="67"/>
      <x:c r="D28" s="67"/>
      <x:c r="E28" s="67"/>
    </x:row>
  </x:sheetData>
  <x:mergeCells count="6">
    <x:mergeCell ref="B3:B4"/>
    <x:mergeCell ref="A3:A4"/>
    <x:mergeCell ref="G3:G4"/>
    <x:mergeCell ref="E3:F3"/>
    <x:mergeCell ref="C3:D3"/>
    <x:mergeCell ref="A1:G1"/>
  </x:mergeCells>
  <x:pageMargins left="0.74805557727813721" right="0.74805557727813721" top="0.98430556058883667" bottom="0.98430556058883667" header="0.51138889789581299" footer="0.51138889789581299"/>
  <x:pageSetup paperSize="9" scale="72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K37"/>
  <x:sheetViews>
    <x:sheetView topLeftCell="A1" zoomScaleNormal="100" workbookViewId="0">
      <x:selection activeCell="O22" activeCellId="0" sqref="O22:O22"/>
    </x:sheetView>
  </x:sheetViews>
  <x:sheetFormatPr defaultColWidth="9.00390625" defaultRowHeight="16.399999999999999"/>
  <x:cols>
    <x:col min="2" max="3" width="9.625" bestFit="1" customWidth="1"/>
    <x:col min="4" max="4" width="6" bestFit="1" customWidth="1"/>
    <x:col min="5" max="5" width="8.375" bestFit="1" customWidth="1"/>
    <x:col min="6" max="6" width="1.5" style="119" customWidth="1"/>
    <x:col min="8" max="9" width="8.375" bestFit="1" customWidth="1"/>
    <x:col min="10" max="10" width="6" bestFit="1" customWidth="1"/>
    <x:col min="11" max="11" width="8.375" bestFit="1" customWidth="1"/>
  </x:cols>
  <x:sheetData>
    <x:row r="1" spans="1:11" ht="32.450000000000003" customHeight="1">
      <x:c r="A1" s="120" t="s">
        <x:v>70</x:v>
      </x:c>
      <x:c r="B1" s="120"/>
      <x:c r="C1" s="120"/>
      <x:c r="D1" s="120"/>
      <x:c r="E1" s="120"/>
      <x:c r="F1" s="120"/>
      <x:c r="G1" s="120"/>
      <x:c r="H1" s="120"/>
      <x:c r="I1" s="120"/>
      <x:c r="J1" s="120"/>
      <x:c r="K1" s="120"/>
    </x:row>
    <x:row r="2" spans="1:1" ht="16.149999999999999" customHeight="1">
      <x:c r="A2" s="118" t="s">
        <x:v>71</x:v>
      </x:c>
    </x:row>
    <x:row r="3" spans="4:11" ht="15.6" customHeight="1">
      <x:c r="D3" s="121" t="s">
        <x:v>75</x:v>
      </x:c>
      <x:c r="E3" s="121"/>
      <x:c r="J3" s="121" t="s">
        <x:v>75</x:v>
      </x:c>
      <x:c r="K3" s="121"/>
    </x:row>
    <x:row r="4" spans="1:11" s="117" customFormat="1" ht="15.6" customHeight="1">
      <x:c r="A4" s="122" t="s">
        <x:v>72</x:v>
      </x:c>
      <x:c r="B4" s="123" t="s">
        <x:v>74</x:v>
      </x:c>
      <x:c r="C4" s="123"/>
      <x:c r="D4" s="123"/>
      <x:c r="E4" s="123"/>
      <x:c r="F4" s="124"/>
      <x:c r="G4" s="125" t="s">
        <x:v>72</x:v>
      </x:c>
      <x:c r="H4" s="126" t="s">
        <x:v>69</x:v>
      </x:c>
      <x:c r="I4" s="126"/>
      <x:c r="J4" s="126"/>
      <x:c r="K4" s="126"/>
    </x:row>
    <x:row r="5" spans="1:11" s="117" customFormat="1" ht="15.6" customHeight="1">
      <x:c r="A5" s="127"/>
      <x:c r="B5" s="128" t="s">
        <x:v>83</x:v>
      </x:c>
      <x:c r="C5" s="128" t="s">
        <x:v>81</x:v>
      </x:c>
      <x:c r="D5" s="128" t="s">
        <x:v>76</x:v>
      </x:c>
      <x:c r="E5" s="129" t="s">
        <x:v>65</x:v>
      </x:c>
      <x:c r="F5" s="130"/>
      <x:c r="G5" s="131"/>
      <x:c r="H5" s="128" t="s">
        <x:v>83</x:v>
      </x:c>
      <x:c r="I5" s="128" t="s">
        <x:v>81</x:v>
      </x:c>
      <x:c r="J5" s="128" t="s">
        <x:v>76</x:v>
      </x:c>
      <x:c r="K5" s="129" t="s">
        <x:v>65</x:v>
      </x:c>
    </x:row>
    <x:row r="6" spans="1:11" ht="15.6" customHeight="1">
      <x:c r="A6" s="132" t="s">
        <x:v>18</x:v>
      </x:c>
      <x:c r="B6" s="133">
        <x:v>26052</x:v>
      </x:c>
      <x:c r="C6" s="133">
        <x:v>22398</x:v>
      </x:c>
      <x:c r="D6" s="134">
        <x:f>(B6-C6)/C6*100</x:f>
        <x:v>16.313956603268149</x:v>
      </x:c>
      <x:c r="E6" s="135">
        <x:f>RANK(D6,$D$6:$D$28,0)</x:f>
        <x:v>1</x:v>
      </x:c>
      <x:c r="F6" s="136"/>
      <x:c r="G6" s="137" t="s">
        <x:v>27</x:v>
      </x:c>
      <x:c r="H6" s="138">
        <x:f>1655+4168</x:f>
        <x:v>5823</x:v>
      </x:c>
      <x:c r="I6" s="138">
        <x:f>1265+3609</x:f>
        <x:v>4874</x:v>
      </x:c>
      <x:c r="J6" s="139">
        <x:f>(H6-I6)/I6*100</x:f>
        <x:v>19.470660648338121</x:v>
      </x:c>
      <x:c r="K6" s="140">
        <x:f>RANK(J6,$J$6:$J$27,0)</x:f>
        <x:v>1</x:v>
      </x:c>
    </x:row>
    <x:row r="7" spans="1:11" ht="15.6" customHeight="1">
      <x:c r="A7" s="141" t="s">
        <x:v>14</x:v>
      </x:c>
      <x:c r="B7" s="142">
        <x:v>23950</x:v>
      </x:c>
      <x:c r="C7" s="142">
        <x:v>21475</x:v>
      </x:c>
      <x:c r="D7" s="143">
        <x:f>(B7-C7)/C7*100</x:f>
        <x:v>11.525029103608848</x:v>
      </x:c>
      <x:c r="E7" s="144">
        <x:f>RANK(D7,$D$6:$D$28,0)</x:f>
        <x:v>2</x:v>
      </x:c>
      <x:c r="F7" s="136"/>
      <x:c r="G7" s="145" t="s">
        <x:v>14</x:v>
      </x:c>
      <x:c r="H7" s="146">
        <x:f>3398+5305</x:f>
        <x:v>8703</x:v>
      </x:c>
      <x:c r="I7" s="146">
        <x:f>3042+4427</x:f>
        <x:v>7469</x:v>
      </x:c>
      <x:c r="J7" s="147">
        <x:f>(H7-I7)/I7*100</x:f>
        <x:v>16.521622707189717</x:v>
      </x:c>
      <x:c r="K7" s="148">
        <x:f>RANK(J7,$J$6:$J$27,0)</x:f>
        <x:v>2</x:v>
      </x:c>
    </x:row>
    <x:row r="8" spans="1:11" ht="15.6" customHeight="1">
      <x:c r="A8" s="141" t="s">
        <x:v>9</x:v>
      </x:c>
      <x:c r="B8" s="142">
        <x:v>29580</x:v>
      </x:c>
      <x:c r="C8" s="142">
        <x:v>26655</x:v>
      </x:c>
      <x:c r="D8" s="143">
        <x:f>(B8-C8)/C8*100</x:f>
        <x:v>10.973550928531232</x:v>
      </x:c>
      <x:c r="E8" s="144">
        <x:f>RANK(D8,$D$6:$D$28,0)</x:f>
        <x:v>3</x:v>
      </x:c>
      <x:c r="F8" s="136"/>
      <x:c r="G8" s="145" t="s">
        <x:v>21</x:v>
      </x:c>
      <x:c r="H8" s="146">
        <x:f>2075+6482</x:f>
        <x:v>8557</x:v>
      </x:c>
      <x:c r="I8" s="146">
        <x:f>2090+5463</x:f>
        <x:v>7553</x:v>
      </x:c>
      <x:c r="J8" s="147">
        <x:f>(H8-I8)/I8*100</x:f>
        <x:v>13.292731365020522</x:v>
      </x:c>
      <x:c r="K8" s="148">
        <x:f>RANK(J8,$J$6:$J$27,0)</x:f>
        <x:v>3</x:v>
      </x:c>
    </x:row>
    <x:row r="9" spans="1:11" ht="15.6" customHeight="1">
      <x:c r="A9" s="141" t="s">
        <x:v>4</x:v>
      </x:c>
      <x:c r="B9" s="142">
        <x:v>28313</x:v>
      </x:c>
      <x:c r="C9" s="142">
        <x:v>25834</x:v>
      </x:c>
      <x:c r="D9" s="143">
        <x:f>(B9-C9)/C9*100</x:f>
        <x:v>9.5958813966091192</x:v>
      </x:c>
      <x:c r="E9" s="144">
        <x:f>RANK(D9,$D$6:$D$28,0)</x:f>
        <x:v>4</x:v>
      </x:c>
      <x:c r="F9" s="136"/>
      <x:c r="G9" s="145" t="s">
        <x:v>19</x:v>
      </x:c>
      <x:c r="H9" s="146">
        <x:f>2609+7517</x:f>
        <x:v>10126</x:v>
      </x:c>
      <x:c r="I9" s="146">
        <x:f>2253+6689</x:f>
        <x:v>8942</x:v>
      </x:c>
      <x:c r="J9" s="147">
        <x:f>(H9-I9)/I9*100</x:f>
        <x:v>13.240885707895325</x:v>
      </x:c>
      <x:c r="K9" s="148">
        <x:f>RANK(J9,$J$6:$J$27,0)</x:f>
        <x:v>4</x:v>
      </x:c>
    </x:row>
    <x:row r="10" spans="1:11" ht="15.6" customHeight="1">
      <x:c r="A10" s="141" t="s">
        <x:v>11</x:v>
      </x:c>
      <x:c r="B10" s="142">
        <x:v>14121</x:v>
      </x:c>
      <x:c r="C10" s="142">
        <x:v>12921</x:v>
      </x:c>
      <x:c r="D10" s="143">
        <x:f>(B10-C10)/C10*100</x:f>
        <x:v>9.2872068725330852</x:v>
      </x:c>
      <x:c r="E10" s="144">
        <x:f>RANK(D10,$D$6:$D$28,0)</x:f>
        <x:v>5</x:v>
      </x:c>
      <x:c r="F10" s="136"/>
      <x:c r="G10" s="145" t="s">
        <x:v>17</x:v>
      </x:c>
      <x:c r="H10" s="146">
        <x:f>2146+5985</x:f>
        <x:v>8131</x:v>
      </x:c>
      <x:c r="I10" s="146">
        <x:f>2199+4982</x:f>
        <x:v>7181</x:v>
      </x:c>
      <x:c r="J10" s="147">
        <x:f>(H10-I10)/I10*100</x:f>
        <x:v>13.229355243002367</x:v>
      </x:c>
      <x:c r="K10" s="148">
        <x:f>RANK(J10,$J$6:$J$27,0)</x:f>
        <x:v>5</x:v>
      </x:c>
    </x:row>
    <x:row r="11" spans="1:11" ht="15.6" customHeight="1">
      <x:c r="A11" s="141" t="s">
        <x:v>13</x:v>
      </x:c>
      <x:c r="B11" s="142">
        <x:v>28009</x:v>
      </x:c>
      <x:c r="C11" s="142">
        <x:v>25641</x:v>
      </x:c>
      <x:c r="D11" s="143">
        <x:f>(B11-C11)/C11*100</x:f>
        <x:v>9.2352092352092345</x:v>
      </x:c>
      <x:c r="E11" s="144">
        <x:f>RANK(D11,$D$6:$D$28,0)</x:f>
        <x:v>6</x:v>
      </x:c>
      <x:c r="F11" s="136"/>
      <x:c r="G11" s="145" t="s">
        <x:v>2</x:v>
      </x:c>
      <x:c r="H11" s="146">
        <x:f>2442+4537</x:f>
        <x:v>6979</x:v>
      </x:c>
      <x:c r="I11" s="146">
        <x:f>2317+3861</x:f>
        <x:v>6178</x:v>
      </x:c>
      <x:c r="J11" s="147">
        <x:f>(H11-I11)/I11*100</x:f>
        <x:v>12.965360958238911</x:v>
      </x:c>
      <x:c r="K11" s="148">
        <x:f>RANK(J11,$J$6:$J$27,0)</x:f>
        <x:v>6</x:v>
      </x:c>
    </x:row>
    <x:row r="12" spans="1:11" ht="15.6" customHeight="1">
      <x:c r="A12" s="141" t="s">
        <x:v>19</x:v>
      </x:c>
      <x:c r="B12" s="142">
        <x:v>33077</x:v>
      </x:c>
      <x:c r="C12" s="142">
        <x:v>30421</x:v>
      </x:c>
      <x:c r="D12" s="143">
        <x:f>(B12-C12)/C12*100</x:f>
        <x:v>8.7308109529601268</x:v>
      </x:c>
      <x:c r="E12" s="144">
        <x:f>RANK(D12,$D$6:$D$28,0)</x:f>
        <x:v>7</x:v>
      </x:c>
      <x:c r="F12" s="136"/>
      <x:c r="G12" s="145" t="s">
        <x:v>13</x:v>
      </x:c>
      <x:c r="H12" s="146">
        <x:f>2829+3083</x:f>
        <x:v>5912</x:v>
      </x:c>
      <x:c r="I12" s="146">
        <x:f>2554+2684</x:f>
        <x:v>5238</x:v>
      </x:c>
      <x:c r="J12" s="147">
        <x:f>(H12-I12)/I12*100</x:f>
        <x:v>12.867506681939672</x:v>
      </x:c>
      <x:c r="K12" s="148">
        <x:f>RANK(J12,$J$6:$J$27,0)</x:f>
        <x:v>7</x:v>
      </x:c>
    </x:row>
    <x:row r="13" spans="1:11" ht="15.6" customHeight="1">
      <x:c r="A13" s="141" t="s">
        <x:v>7</x:v>
      </x:c>
      <x:c r="B13" s="142">
        <x:v>48456</x:v>
      </x:c>
      <x:c r="C13" s="142">
        <x:v>44786</x:v>
      </x:c>
      <x:c r="D13" s="143">
        <x:f>(B13-C13)/C13*100</x:f>
        <x:v>8.1945250748001595</x:v>
      </x:c>
      <x:c r="E13" s="144">
        <x:f>RANK(D13,$D$6:$D$28,0)</x:f>
        <x:v>8</x:v>
      </x:c>
      <x:c r="F13" s="136"/>
      <x:c r="G13" s="145" t="s">
        <x:v>16</x:v>
      </x:c>
      <x:c r="H13" s="146">
        <x:f>2466+5529</x:f>
        <x:v>7995</x:v>
      </x:c>
      <x:c r="I13" s="146">
        <x:f>2497+4620</x:f>
        <x:v>7117</x:v>
      </x:c>
      <x:c r="J13" s="147">
        <x:f>(H13-I13)/I13*100</x:f>
        <x:v>12.336658704510327</x:v>
      </x:c>
      <x:c r="K13" s="148">
        <x:f>RANK(J13,$J$6:$J$27,0)</x:f>
        <x:v>8</x:v>
      </x:c>
    </x:row>
    <x:row r="14" spans="1:11" ht="15.6" customHeight="1">
      <x:c r="A14" s="141" t="s">
        <x:v>8</x:v>
      </x:c>
      <x:c r="B14" s="142">
        <x:v>43886</x:v>
      </x:c>
      <x:c r="C14" s="142">
        <x:v>40869</x:v>
      </x:c>
      <x:c r="D14" s="143">
        <x:f>(B14-C14)/C14*100</x:f>
        <x:v>7.3821233697912838</x:v>
      </x:c>
      <x:c r="E14" s="144">
        <x:f>RANK(D14,$D$6:$D$28,0)</x:f>
        <x:v>9</x:v>
      </x:c>
      <x:c r="F14" s="136"/>
      <x:c r="G14" s="145" t="s">
        <x:v>15</x:v>
      </x:c>
      <x:c r="H14" s="146">
        <x:f>3546+9584</x:f>
        <x:v>13130</x:v>
      </x:c>
      <x:c r="I14" s="146">
        <x:f>3704+7992</x:f>
        <x:v>11696</x:v>
      </x:c>
      <x:c r="J14" s="147">
        <x:f>(H14-I14)/I14*100</x:f>
        <x:v>12.260601915184678</x:v>
      </x:c>
      <x:c r="K14" s="148">
        <x:f>RANK(J14,$J$6:$J$27,0)</x:f>
        <x:v>9</x:v>
      </x:c>
    </x:row>
    <x:row r="15" spans="1:11" ht="15.6" customHeight="1">
      <x:c r="A15" s="141" t="s">
        <x:v>15</x:v>
      </x:c>
      <x:c r="B15" s="142">
        <x:v>52340</x:v>
      </x:c>
      <x:c r="C15" s="142">
        <x:v>49024</x:v>
      </x:c>
      <x:c r="D15" s="143">
        <x:f>(B15-C15)/C15*100</x:f>
        <x:v>6.7640339425587461</x:v>
      </x:c>
      <x:c r="E15" s="144">
        <x:f>RANK(D15,$D$6:$D$28,0)</x:f>
        <x:v>10</x:v>
      </x:c>
      <x:c r="F15" s="136"/>
      <x:c r="G15" s="145" t="s">
        <x:v>10</x:v>
      </x:c>
      <x:c r="H15" s="146">
        <x:f>1693+5382</x:f>
        <x:v>7075</x:v>
      </x:c>
      <x:c r="I15" s="146">
        <x:f>1910+4439</x:f>
        <x:v>6349</x:v>
      </x:c>
      <x:c r="J15" s="147">
        <x:f>(H15-I15)/I15*100</x:f>
        <x:v>11.434871633328084</x:v>
      </x:c>
      <x:c r="K15" s="148">
        <x:f>RANK(J15,$J$6:$J$27,0)</x:f>
        <x:v>10</x:v>
      </x:c>
    </x:row>
    <x:row r="16" spans="1:11" ht="15.6" customHeight="1">
      <x:c r="A16" s="141" t="s">
        <x:v>21</x:v>
      </x:c>
      <x:c r="B16" s="142">
        <x:v>31677</x:v>
      </x:c>
      <x:c r="C16" s="142">
        <x:v>29913</x:v>
      </x:c>
      <x:c r="D16" s="143">
        <x:f>(B16-C16)/C16*100</x:f>
        <x:v>5.8971015946244103</x:v>
      </x:c>
      <x:c r="E16" s="144">
        <x:f>RANK(D16,$D$6:$D$28,0)</x:f>
        <x:v>11</x:v>
      </x:c>
      <x:c r="F16" s="136"/>
      <x:c r="G16" s="145" t="s">
        <x:v>22</x:v>
      </x:c>
      <x:c r="H16" s="146">
        <x:f>1668+6062</x:f>
        <x:v>7730</x:v>
      </x:c>
      <x:c r="I16" s="146">
        <x:f>1678+5295</x:f>
        <x:v>6973</x:v>
      </x:c>
      <x:c r="J16" s="147">
        <x:f>(H16-I16)/I16*100</x:f>
        <x:v>10.856159472250107</x:v>
      </x:c>
      <x:c r="K16" s="148">
        <x:f>RANK(J16,$J$6:$J$27,0)</x:f>
        <x:v>11</x:v>
      </x:c>
    </x:row>
    <x:row r="17" spans="1:11" ht="15.6" customHeight="1">
      <x:c r="A17" s="141" t="s">
        <x:v>16</x:v>
      </x:c>
      <x:c r="B17" s="142">
        <x:v>25309</x:v>
      </x:c>
      <x:c r="C17" s="142">
        <x:v>24023</x:v>
      </x:c>
      <x:c r="D17" s="143">
        <x:f>(B17-C17)/C17*100</x:f>
        <x:v>5.3532031802855595</x:v>
      </x:c>
      <x:c r="E17" s="144">
        <x:f>RANK(D17,$D$6:$D$28,0)</x:f>
        <x:v>12</x:v>
      </x:c>
      <x:c r="F17" s="136"/>
      <x:c r="G17" s="145" t="s">
        <x:v>23</x:v>
      </x:c>
      <x:c r="H17" s="146">
        <x:f>1950+7112</x:f>
        <x:v>9062</x:v>
      </x:c>
      <x:c r="I17" s="146">
        <x:f>2226+5975</x:f>
        <x:v>8201</x:v>
      </x:c>
      <x:c r="J17" s="147">
        <x:f>(H17-I17)/I17*100</x:f>
        <x:v>10.498719668333131</x:v>
      </x:c>
      <x:c r="K17" s="148">
        <x:f>RANK(J17,$J$6:$J$27,0)</x:f>
        <x:v>12</x:v>
      </x:c>
    </x:row>
    <x:row r="18" spans="1:11" ht="15.6" customHeight="1">
      <x:c r="A18" s="141" t="s">
        <x:v>17</x:v>
      </x:c>
      <x:c r="B18" s="142">
        <x:v>25239</x:v>
      </x:c>
      <x:c r="C18" s="142">
        <x:v>24231</x:v>
      </x:c>
      <x:c r="D18" s="143">
        <x:f>(B18-C18)/C18*100</x:f>
        <x:v>4.1599603813297019</x:v>
      </x:c>
      <x:c r="E18" s="144">
        <x:f>RANK(D18,$D$6:$D$28,0)</x:f>
        <x:v>13</x:v>
      </x:c>
      <x:c r="F18" s="136"/>
      <x:c r="G18" s="145" t="s">
        <x:v>68</x:v>
      </x:c>
      <x:c r="H18" s="146">
        <x:f>4884+6078</x:f>
        <x:v>10962</x:v>
      </x:c>
      <x:c r="I18" s="146">
        <x:f>4543+5408</x:f>
        <x:v>9951</x:v>
      </x:c>
      <x:c r="J18" s="147">
        <x:f>(H18-I18)/I18*100</x:f>
        <x:v>10.159782936388302</x:v>
      </x:c>
      <x:c r="K18" s="148">
        <x:f>RANK(J18,$J$6:$J$27,0)</x:f>
        <x:v>13</x:v>
      </x:c>
    </x:row>
    <x:row r="19" spans="1:11" ht="15.6" customHeight="1">
      <x:c r="A19" s="141" t="s">
        <x:v>12</x:v>
      </x:c>
      <x:c r="B19" s="142">
        <x:v>91827</x:v>
      </x:c>
      <x:c r="C19" s="142">
        <x:v>88270</x:v>
      </x:c>
      <x:c r="D19" s="143">
        <x:f>(B19-C19)/C19*100</x:f>
        <x:v>4.0296816585476378</x:v>
      </x:c>
      <x:c r="E19" s="144">
        <x:f>RANK(D19,$D$6:$D$28,0)</x:f>
        <x:v>14</x:v>
      </x:c>
      <x:c r="F19" s="136"/>
      <x:c r="G19" s="145" t="s">
        <x:v>8</x:v>
      </x:c>
      <x:c r="H19" s="146">
        <x:f>4260+6038</x:f>
        <x:v>10298</x:v>
      </x:c>
      <x:c r="I19" s="146">
        <x:f>4117+5358</x:f>
        <x:v>9475</x:v>
      </x:c>
      <x:c r="J19" s="147">
        <x:f>(H19-I19)/I19*100</x:f>
        <x:v>8.686015831134565</x:v>
      </x:c>
      <x:c r="K19" s="148">
        <x:f>RANK(J19,$J$6:$J$27,0)</x:f>
        <x:v>14</x:v>
      </x:c>
    </x:row>
    <x:row r="20" spans="1:11" ht="15.6" customHeight="1">
      <x:c r="A20" s="141" t="s">
        <x:v>23</x:v>
      </x:c>
      <x:c r="B20" s="142">
        <x:v>31496</x:v>
      </x:c>
      <x:c r="C20" s="142">
        <x:v>30515</x:v>
      </x:c>
      <x:c r="D20" s="143">
        <x:f>(B20-C20)/C20*100</x:f>
        <x:v>3.214812387350483</x:v>
      </x:c>
      <x:c r="E20" s="144">
        <x:f>RANK(D20,$D$6:$D$28,0)</x:f>
        <x:v>15</x:v>
      </x:c>
      <x:c r="F20" s="136"/>
      <x:c r="G20" s="145" t="s">
        <x:v>18</x:v>
      </x:c>
      <x:c r="H20" s="146">
        <x:f>3754+8527</x:f>
        <x:v>12281</x:v>
      </x:c>
      <x:c r="I20" s="146">
        <x:f>3142+7586+717</x:f>
        <x:v>11445</x:v>
      </x:c>
      <x:c r="J20" s="147">
        <x:f>(H20-I20)/I20*100</x:f>
        <x:v>7.3044997815640018</x:v>
      </x:c>
      <x:c r="K20" s="148">
        <x:f>RANK(J20,$J$6:$J$27,0)</x:f>
        <x:v>15</x:v>
      </x:c>
    </x:row>
    <x:row r="21" spans="1:11" ht="15.6" customHeight="1">
      <x:c r="A21" s="141" t="s">
        <x:v>22</x:v>
      </x:c>
      <x:c r="B21" s="142">
        <x:v>23852</x:v>
      </x:c>
      <x:c r="C21" s="142">
        <x:f>27840-4704</x:f>
        <x:v>23136</x:v>
      </x:c>
      <x:c r="D21" s="143">
        <x:f>(B21-C21)/C21*100</x:f>
        <x:v>3.0947441217150762</x:v>
      </x:c>
      <x:c r="E21" s="144">
        <x:f>RANK(D21,$D$6:$D$28,0)</x:f>
        <x:v>16</x:v>
      </x:c>
      <x:c r="F21" s="136"/>
      <x:c r="G21" s="145" t="s">
        <x:v>7</x:v>
      </x:c>
      <x:c r="H21" s="146">
        <x:f>4000+8799</x:f>
        <x:v>12799</x:v>
      </x:c>
      <x:c r="I21" s="146">
        <x:f>4482+7585</x:f>
        <x:v>12067</x:v>
      </x:c>
      <x:c r="J21" s="147">
        <x:f>(H21-I21)/I21*100</x:f>
        <x:v>6.0661307698682361</x:v>
      </x:c>
      <x:c r="K21" s="148">
        <x:f>RANK(J21,$J$6:$J$27,0)</x:f>
        <x:v>16</x:v>
      </x:c>
    </x:row>
    <x:row r="22" spans="1:11" ht="15.6" customHeight="1">
      <x:c r="A22" s="141" t="s">
        <x:v>27</x:v>
      </x:c>
      <x:c r="B22" s="142">
        <x:v>17866</x:v>
      </x:c>
      <x:c r="C22" s="142">
        <x:v>17348</x:v>
      </x:c>
      <x:c r="D22" s="143">
        <x:f>(B22-C22)/C22*100</x:f>
        <x:v>2.9859349780954574</x:v>
      </x:c>
      <x:c r="E22" s="144">
        <x:f>RANK(D22,$D$6:$D$28,0)</x:f>
        <x:v>17</x:v>
      </x:c>
      <x:c r="F22" s="136"/>
      <x:c r="G22" s="149" t="s">
        <x:v>9</x:v>
      </x:c>
      <x:c r="H22" s="146">
        <x:f>4295+6373</x:f>
        <x:v>10668</x:v>
      </x:c>
      <x:c r="I22" s="146">
        <x:f>4770+5446</x:f>
        <x:v>10216</x:v>
      </x:c>
      <x:c r="J22" s="147">
        <x:f>(H22-I22)/I22*100</x:f>
        <x:v>4.4244322631166799</x:v>
      </x:c>
      <x:c r="K22" s="148">
        <x:f>RANK(J22,$J$6:$J$27,0)</x:f>
        <x:v>17</x:v>
      </x:c>
    </x:row>
    <x:row r="23" spans="1:11" ht="15.6" customHeight="1">
      <x:c r="A23" s="141" t="s">
        <x:v>2</x:v>
      </x:c>
      <x:c r="B23" s="142">
        <x:v>26345</x:v>
      </x:c>
      <x:c r="C23" s="142">
        <x:v>25836</x:v>
      </x:c>
      <x:c r="D23" s="143">
        <x:f>(B23-C23)/C23*100</x:f>
        <x:v>1.9701192135005419</x:v>
      </x:c>
      <x:c r="E23" s="144">
        <x:f>RANK(D23,$D$6:$D$28,0)</x:f>
        <x:v>18</x:v>
      </x:c>
      <x:c r="F23" s="136"/>
      <x:c r="G23" s="145" t="s">
        <x:v>5</x:v>
      </x:c>
      <x:c r="H23" s="146">
        <x:f>3485+2696</x:f>
        <x:v>6181</x:v>
      </x:c>
      <x:c r="I23" s="146">
        <x:f>3545+2442</x:f>
        <x:v>5987</x:v>
      </x:c>
      <x:c r="J23" s="147">
        <x:f>(H23-I23)/I23*100</x:f>
        <x:v>3.240354100551194</x:v>
      </x:c>
      <x:c r="K23" s="148">
        <x:f>RANK(J23,$J$6:$J$27,0)</x:f>
        <x:v>18</x:v>
      </x:c>
    </x:row>
    <x:row r="24" spans="1:11" ht="15.6" customHeight="1">
      <x:c r="A24" s="141" t="s">
        <x:v>5</x:v>
      </x:c>
      <x:c r="B24" s="142">
        <x:v>41748</x:v>
      </x:c>
      <x:c r="C24" s="142">
        <x:v>42385</x:v>
      </x:c>
      <x:c r="D24" s="143">
        <x:f>(B24-C24)/C24*100</x:f>
        <x:v>-1.5028901734104045</x:v>
      </x:c>
      <x:c r="E24" s="144">
        <x:f>RANK(D24,$D$6:$D$28,0)</x:f>
        <x:v>19</x:v>
      </x:c>
      <x:c r="F24" s="136"/>
      <x:c r="G24" s="145" t="s">
        <x:v>6</x:v>
      </x:c>
      <x:c r="H24" s="146">
        <x:f>5073+3233</x:f>
        <x:v>8306</x:v>
      </x:c>
      <x:c r="I24" s="146">
        <x:f>5285+2950</x:f>
        <x:v>8235</x:v>
      </x:c>
      <x:c r="J24" s="147">
        <x:f>(H24-I24)/I24*100</x:f>
        <x:v>0.86217364905889493</x:v>
      </x:c>
      <x:c r="K24" s="150">
        <x:f>RANK(J24,$J$6:$J$27,0)</x:f>
        <x:v>19</x:v>
      </x:c>
    </x:row>
    <x:row r="25" spans="1:11" ht="15.6" customHeight="1">
      <x:c r="A25" s="141" t="s">
        <x:v>68</x:v>
      </x:c>
      <x:c r="B25" s="142">
        <x:v>49300</x:v>
      </x:c>
      <x:c r="C25" s="142">
        <x:v>50699</x:v>
      </x:c>
      <x:c r="D25" s="143">
        <x:f>(B25-C25)/C25*100</x:f>
        <x:v>-2.7594232627862483</x:v>
      </x:c>
      <x:c r="E25" s="144">
        <x:f>RANK(D25,$D$6:$D$28,0)</x:f>
        <x:v>20</x:v>
      </x:c>
      <x:c r="F25" s="136"/>
      <x:c r="G25" s="145" t="s">
        <x:v>20</x:v>
      </x:c>
      <x:c r="H25" s="146">
        <x:f>8344+7947</x:f>
        <x:v>16291</x:v>
      </x:c>
      <x:c r="I25" s="146">
        <x:f>9445+6708</x:f>
        <x:v>16153</x:v>
      </x:c>
      <x:c r="J25" s="147">
        <x:f>(H25-I25)/I25*100</x:f>
        <x:v>0.85433046492911535</x:v>
      </x:c>
      <x:c r="K25" s="148">
        <x:f>RANK(J25,$J$6:$J$27,0)</x:f>
        <x:v>20</x:v>
      </x:c>
    </x:row>
    <x:row r="26" spans="1:11" ht="15.6" customHeight="1">
      <x:c r="A26" s="141" t="s">
        <x:v>20</x:v>
      </x:c>
      <x:c r="B26" s="142">
        <x:v>56336</x:v>
      </x:c>
      <x:c r="C26" s="142">
        <x:v>59399</x:v>
      </x:c>
      <x:c r="D26" s="143">
        <x:f>(B26-C26)/C26*100</x:f>
        <x:v>-5.156652468896783</x:v>
      </x:c>
      <x:c r="E26" s="144">
        <x:f>RANK(D26,$D$6:$D$28,0)</x:f>
        <x:v>21</x:v>
      </x:c>
      <x:c r="F26" s="136"/>
      <x:c r="G26" s="145" t="s">
        <x:v>4</x:v>
      </x:c>
      <x:c r="H26" s="146">
        <x:f>2900+3887</x:f>
        <x:v>6787</x:v>
      </x:c>
      <x:c r="I26" s="146">
        <x:f>3488+3497</x:f>
        <x:v>6985</x:v>
      </x:c>
      <x:c r="J26" s="147">
        <x:f>(H26-I26)/I26*100</x:f>
        <x:v>-2.8346456692913384</x:v>
      </x:c>
      <x:c r="K26" s="148">
        <x:f>RANK(J26,$J$6:$J$27,0)</x:f>
        <x:v>21</x:v>
      </x:c>
    </x:row>
    <x:row r="27" spans="1:11" ht="15.6" customHeight="1">
      <x:c r="A27" s="141" t="s">
        <x:v>10</x:v>
      </x:c>
      <x:c r="B27" s="142">
        <x:v>23260</x:v>
      </x:c>
      <x:c r="C27" s="142">
        <x:v>24715</x:v>
      </x:c>
      <x:c r="D27" s="143">
        <x:f>(B27-C27)/C27*100</x:f>
        <x:v>-5.8871130892170749</x:v>
      </x:c>
      <x:c r="E27" s="144">
        <x:f>RANK(D27,$D$6:$D$28,0)</x:f>
        <x:v>22</x:v>
      </x:c>
      <x:c r="F27" s="136"/>
      <x:c r="G27" s="145" t="s">
        <x:v>12</x:v>
      </x:c>
      <x:c r="H27" s="146">
        <x:f>14039+12041</x:f>
        <x:v>26080</x:v>
      </x:c>
      <x:c r="I27" s="146">
        <x:f>16629+11042</x:f>
        <x:v>27671</x:v>
      </x:c>
      <x:c r="J27" s="147">
        <x:f>(H27-I27)/I27*100</x:f>
        <x:v>-5.7497018539264939</x:v>
      </x:c>
      <x:c r="K27" s="148">
        <x:f>RANK(J27,$J$6:$J$27,0)</x:f>
        <x:v>22</x:v>
      </x:c>
    </x:row>
    <x:row r="28" spans="1:11" ht="15.6" customHeight="1">
      <x:c r="A28" s="141" t="s">
        <x:v>6</x:v>
      </x:c>
      <x:c r="B28" s="142">
        <x:v>35853</x:v>
      </x:c>
      <x:c r="C28" s="142">
        <x:v>39746</x:v>
      </x:c>
      <x:c r="D28" s="143">
        <x:f>(B28-C28)/C28*100</x:f>
        <x:v>-9.7946963216424301</x:v>
      </x:c>
      <x:c r="E28" s="144">
        <x:f>RANK(D28,$D$6:$D$28,0)</x:f>
        <x:v>23</x:v>
      </x:c>
      <x:c r="F28" s="136"/>
      <x:c r="G28" s="149" t="s">
        <x:v>11</x:v>
      </x:c>
      <x:c r="H28" s="151" t="s">
        <x:v>84</x:v>
      </x:c>
      <x:c r="I28" s="151"/>
      <x:c r="J28" s="151"/>
      <x:c r="K28" s="151"/>
    </x:row>
    <x:row r="29" spans="1:11" ht="15.6" customHeight="1">
      <x:c r="A29" s="128" t="s">
        <x:v>79</x:v>
      </x:c>
      <x:c r="B29" s="152">
        <x:f>SUM(B6:B28)</x:f>
        <x:v>807892</x:v>
      </x:c>
      <x:c r="C29" s="152">
        <x:f>SUM(C6:C28)</x:f>
        <x:v>780240</x:v>
      </x:c>
      <x:c r="D29" s="153">
        <x:f>(B29-C29)/C29*100</x:f>
        <x:v>3.5440377319799037</x:v>
      </x:c>
      <x:c r="E29" s="154"/>
      <x:c r="F29" s="136"/>
      <x:c r="G29" s="155" t="s">
        <x:v>79</x:v>
      </x:c>
      <x:c r="H29" s="156">
        <x:f>SUM(H6:H28)</x:f>
        <x:v>219876</x:v>
      </x:c>
      <x:c r="I29" s="156">
        <x:f>SUM(I6:I28)</x:f>
        <x:v>205956</x:v>
      </x:c>
      <x:c r="J29" s="157">
        <x:f>(H29-I29)/I29*100</x:f>
        <x:v>6.758725164598264</x:v>
      </x:c>
      <x:c r="K29" s="156"/>
    </x:row>
    <x:row r="30" spans="1:11" ht="15.6" customHeight="1">
      <x:c r="A30" s="158" t="s">
        <x:v>80</x:v>
      </x:c>
      <x:c r="B30" s="159">
        <x:v>4335</x:v>
      </x:c>
      <x:c r="C30" s="159">
        <x:f>332+4704</x:f>
        <x:v>5036</x:v>
      </x:c>
      <x:c r="D30" s="160" t="s">
        <x:v>86</x:v>
      </x:c>
      <x:c r="E30" s="161"/>
      <x:c r="F30" s="162"/>
      <x:c r="G30" s="158" t="s">
        <x:v>80</x:v>
      </x:c>
      <x:c r="H30" s="163" t="s">
        <x:v>85</x:v>
      </x:c>
      <x:c r="I30" s="164"/>
      <x:c r="J30" s="164"/>
      <x:c r="K30" s="165"/>
    </x:row>
    <x:row r="31" spans="1:11" ht="15.6" customHeight="1">
      <x:c r="A31" s="166" t="s">
        <x:v>78</x:v>
      </x:c>
      <x:c r="B31" s="167">
        <x:v>724</x:v>
      </x:c>
      <x:c r="C31" s="167">
        <x:v>495</x:v>
      </x:c>
      <x:c r="D31" s="168"/>
      <x:c r="E31" s="169"/>
      <x:c r="F31" s="162"/>
      <x:c r="G31" s="166" t="s">
        <x:v>78</x:v>
      </x:c>
      <x:c r="H31" s="170"/>
      <x:c r="I31" s="171"/>
      <x:c r="J31" s="171"/>
      <x:c r="K31" s="172"/>
    </x:row>
    <x:row r="32" spans="1:11" ht="15.6" customHeight="1">
      <x:c r="A32" s="173" t="s">
        <x:v>79</x:v>
      </x:c>
      <x:c r="B32" s="174">
        <x:f>SUM(B30:B31)</x:f>
        <x:v>5059</x:v>
      </x:c>
      <x:c r="C32" s="174">
        <x:f>SUM(C30:C31)</x:f>
        <x:v>5531</x:v>
      </x:c>
      <x:c r="D32" s="175">
        <x:f>(B32-C32)/C32*100</x:f>
        <x:v>-8.5337190381486163</x:v>
      </x:c>
      <x:c r="E32" s="174"/>
      <x:c r="F32" s="136"/>
      <x:c r="G32" s="176" t="s">
        <x:v>79</x:v>
      </x:c>
      <x:c r="H32" s="177">
        <x:f>SUM(H30:H31)</x:f>
        <x:v>0</x:v>
      </x:c>
      <x:c r="I32" s="177">
        <x:f>SUM(I30:I31)</x:f>
        <x:v>0</x:v>
      </x:c>
      <x:c r="J32" s="178"/>
      <x:c r="K32" s="177"/>
    </x:row>
    <x:row r="33" spans="1:11" ht="15.6" customHeight="1">
      <x:c r="A33" s="179" t="s">
        <x:v>82</x:v>
      </x:c>
      <x:c r="B33" s="180">
        <x:f>(B29+B32)</x:f>
        <x:v>812951</x:v>
      </x:c>
      <x:c r="C33" s="180">
        <x:f>(C29+C32)</x:f>
        <x:v>785771</x:v>
      </x:c>
      <x:c r="D33" s="181">
        <x:f>(B33-C33)/C33*100</x:f>
        <x:v>3.4590230486999394</x:v>
      </x:c>
      <x:c r="E33" s="180"/>
      <x:c r="F33" s="182"/>
      <x:c r="G33" s="179" t="s">
        <x:v>82</x:v>
      </x:c>
      <x:c r="H33" s="180">
        <x:f>H29+H32</x:f>
        <x:v>219876</x:v>
      </x:c>
      <x:c r="I33" s="180">
        <x:f>I29+I32</x:f>
        <x:v>205956</x:v>
      </x:c>
      <x:c r="J33" s="183">
        <x:f>(H33-I33)/I33*100</x:f>
        <x:v>6.758725164598264</x:v>
      </x:c>
      <x:c r="K33" s="184"/>
    </x:row>
    <x:row r="34" spans="1:11" ht="15.6" customHeight="1">
      <x:c r="A34" s="185" t="s">
        <x:v>77</x:v>
      </x:c>
      <x:c r="B34" s="186">
        <x:f>B33/21</x:f>
        <x:v>38711.952380952382</x:v>
      </x:c>
      <x:c r="C34" s="186">
        <x:f>C33/21</x:f>
        <x:v>37417.666666666664</x:v>
      </x:c>
      <x:c r="D34" s="187">
        <x:f>(B34-C34)/C34*100</x:f>
        <x:v>3.4590230486999483</x:v>
      </x:c>
      <x:c r="E34" s="188"/>
      <x:c r="F34" s="189"/>
      <x:c r="G34" s="185" t="s">
        <x:v>77</x:v>
      </x:c>
      <x:c r="H34" s="186">
        <x:f>H33/21</x:f>
        <x:v>10470.285714285714</x:v>
      </x:c>
      <x:c r="I34" s="186">
        <x:f>I33/21</x:f>
        <x:v>9807.4285714285706</x:v>
      </x:c>
      <x:c r="J34" s="187">
        <x:f>(H34-I34)/I34*100</x:f>
        <x:v>6.7587251645982676</x:v>
      </x:c>
      <x:c r="K34" s="188"/>
    </x:row>
    <x:row r="35" ht="6" customHeight="1"/>
    <x:row r="36" spans="1:6" s="118" customFormat="1" ht="15" customHeight="1">
      <x:c r="A36" s="118" t="s">
        <x:v>73</x:v>
      </x:c>
      <x:c r="F36" s="190"/>
    </x:row>
    <x:row r="37" spans="6:6" s="118" customFormat="1" ht="15" customHeight="1">
      <x:c r="F37" s="190"/>
    </x:row>
  </x:sheetData>
  <x:mergeCells count="10">
    <x:mergeCell ref="A1:K1"/>
    <x:mergeCell ref="H28:K28"/>
    <x:mergeCell ref="H30:K31"/>
    <x:mergeCell ref="D3:E3"/>
    <x:mergeCell ref="J3:K3"/>
    <x:mergeCell ref="A4:A5"/>
    <x:mergeCell ref="B4:E4"/>
    <x:mergeCell ref="G4:G5"/>
    <x:mergeCell ref="H4:K4"/>
    <x:mergeCell ref="D30:E31"/>
  </x:mergeCells>
  <x:printOptions horizontalCentered="1" verticalCentered="0" headings="0" gridLines="0" gridLinesSet="1"/>
  <x:pageMargins left="0.15736110508441925" right="0.15736110508441925" top="1.6200000047683716" bottom="0.19680555164813995" header="0.15736110508441925" footer="0.15736110508441925"/>
  <x:pageSetup paperSize="9" scale="11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29"/>
  <x:sheetViews>
    <x:sheetView topLeftCell="A1" zoomScaleNormal="100" workbookViewId="0">
      <x:selection activeCell="I12" activeCellId="0" sqref="I12:I12"/>
    </x:sheetView>
  </x:sheetViews>
  <x:sheetFormatPr defaultColWidth="9.875" defaultRowHeight="13.35"/>
  <x:cols>
    <x:col min="1" max="1" width="15" style="7" customWidth="1"/>
    <x:col min="2" max="5" width="17.625" style="7" customWidth="1"/>
    <x:col min="6" max="16384" width="9.875" style="1"/>
  </x:cols>
  <x:sheetData>
    <x:row r="1" spans="1:5" ht="69" customHeight="1">
      <x:c r="A1" s="109" t="s">
        <x:v>54</x:v>
      </x:c>
      <x:c r="B1" s="109"/>
      <x:c r="C1" s="109"/>
      <x:c r="D1" s="109"/>
      <x:c r="E1" s="109"/>
    </x:row>
    <x:row r="2" spans="1:5" s="2" customFormat="1" ht="28.5" customHeight="1">
      <x:c r="A2" s="40" t="s">
        <x:v>0</x:v>
      </x:c>
      <x:c r="B2" s="42"/>
      <x:c r="C2" s="3"/>
      <x:c r="D2" s="3"/>
      <x:c r="E2" s="3" t="s">
        <x:v>26</x:v>
      </x:c>
    </x:row>
    <x:row r="3" spans="1:5" s="2" customFormat="1" ht="25.5" customHeight="1">
      <x:c r="A3" s="108" t="s">
        <x:v>65</x:v>
      </x:c>
      <x:c r="B3" s="107" t="s">
        <x:v>64</x:v>
      </x:c>
      <x:c r="C3" s="108" t="s">
        <x:v>42</x:v>
      </x:c>
      <x:c r="D3" s="108"/>
      <x:c r="E3" s="108"/>
    </x:row>
    <x:row r="4" spans="1:5" s="2" customFormat="1" ht="25.5" customHeight="1">
      <x:c r="A4" s="108"/>
      <x:c r="B4" s="107"/>
      <x:c r="C4" s="4" t="s">
        <x:v>31</x:v>
      </x:c>
      <x:c r="D4" s="4" t="s">
        <x:v>24</x:v>
      </x:c>
      <x:c r="E4" s="4" t="s">
        <x:v>25</x:v>
      </x:c>
    </x:row>
    <x:row r="5" spans="1:5" s="41" customFormat="1" ht="26.25" customHeight="1">
      <x:c r="A5" s="43">
        <x:v>1</x:v>
      </x:c>
      <x:c r="B5" s="44" t="s">
        <x:v>68</x:v>
      </x:c>
      <x:c r="C5" s="45">
        <x:v>5811</x:v>
      </x:c>
      <x:c r="D5" s="45">
        <x:v>22773</x:v>
      </x:c>
      <x:c r="E5" s="46">
        <x:v>25.517059675932025</x:v>
      </x:c>
    </x:row>
    <x:row r="6" spans="1:5" s="41" customFormat="1" ht="25.5" customHeight="1">
      <x:c r="A6" s="43">
        <x:v>3</x:v>
      </x:c>
      <x:c r="B6" s="47" t="s">
        <x:v>4</x:v>
      </x:c>
      <x:c r="C6" s="45">
        <x:v>1423</x:v>
      </x:c>
      <x:c r="D6" s="45">
        <x:v>12700</x:v>
      </x:c>
      <x:c r="E6" s="46">
        <x:v>11.204724409448819</x:v>
      </x:c>
    </x:row>
    <x:row r="7" spans="1:5" s="41" customFormat="1" ht="25.5" customHeight="1">
      <x:c r="A7" s="43">
        <x:v>2</x:v>
      </x:c>
      <x:c r="B7" s="47" t="s">
        <x:v>13</x:v>
      </x:c>
      <x:c r="C7" s="45">
        <x:v>1501</x:v>
      </x:c>
      <x:c r="D7" s="45">
        <x:v>12633</x:v>
      </x:c>
      <x:c r="E7" s="46">
        <x:v>11.881579988917913</x:v>
      </x:c>
    </x:row>
    <x:row r="8" spans="1:5" s="41" customFormat="1" ht="25.5" customHeight="1">
      <x:c r="A8" s="43">
        <x:v>4</x:v>
      </x:c>
      <x:c r="B8" s="47" t="s">
        <x:v>19</x:v>
      </x:c>
      <x:c r="C8" s="45">
        <x:v>937</x:v>
      </x:c>
      <x:c r="D8" s="45">
        <x:v>10998</x:v>
      </x:c>
      <x:c r="E8" s="46">
        <x:v>8.5197308601563915</x:v>
      </x:c>
    </x:row>
    <x:row r="9" spans="1:5" s="41" customFormat="1" ht="25.5" customHeight="1">
      <x:c r="A9" s="43">
        <x:v>5</x:v>
      </x:c>
      <x:c r="B9" s="44" t="s">
        <x:v>7</x:v>
      </x:c>
      <x:c r="C9" s="45">
        <x:v>1331</x:v>
      </x:c>
      <x:c r="D9" s="45">
        <x:v>19707</x:v>
      </x:c>
      <x:c r="E9" s="46">
        <x:v>6.7539452986248545</x:v>
      </x:c>
    </x:row>
    <x:row r="10" spans="1:5" s="41" customFormat="1" ht="25.5" customHeight="1">
      <x:c r="A10" s="43">
        <x:v>6</x:v>
      </x:c>
      <x:c r="B10" s="47" t="s">
        <x:v>20</x:v>
      </x:c>
      <x:c r="C10" s="45">
        <x:v>1397</x:v>
      </x:c>
      <x:c r="D10" s="45">
        <x:v>21902</x:v>
      </x:c>
      <x:c r="E10" s="46">
        <x:v>6.3784129303259984</x:v>
      </x:c>
    </x:row>
    <x:row r="11" spans="1:5" s="41" customFormat="1" ht="25.5" customHeight="1">
      <x:c r="A11" s="43">
        <x:v>10</x:v>
      </x:c>
      <x:c r="B11" s="44" t="s">
        <x:v>23</x:v>
      </x:c>
      <x:c r="C11" s="45">
        <x:v>1569</x:v>
      </x:c>
      <x:c r="D11" s="45">
        <x:v>27206</x:v>
      </x:c>
      <x:c r="E11" s="46">
        <x:v>5.7671101962802327</x:v>
      </x:c>
    </x:row>
    <x:row r="12" spans="1:5" s="41" customFormat="1" ht="25.5" customHeight="1">
      <x:c r="A12" s="43">
        <x:v>8</x:v>
      </x:c>
      <x:c r="B12" s="44" t="s">
        <x:v>9</x:v>
      </x:c>
      <x:c r="C12" s="45">
        <x:v>578</x:v>
      </x:c>
      <x:c r="D12" s="45">
        <x:v>9581</x:v>
      </x:c>
      <x:c r="E12" s="46">
        <x:v>6.0327731969523013</x:v>
      </x:c>
    </x:row>
    <x:row r="13" spans="1:5" s="41" customFormat="1" ht="25.5" customHeight="1">
      <x:c r="A13" s="43">
        <x:v>7</x:v>
      </x:c>
      <x:c r="B13" s="47" t="s">
        <x:v>18</x:v>
      </x:c>
      <x:c r="C13" s="45">
        <x:v>626</x:v>
      </x:c>
      <x:c r="D13" s="45">
        <x:v>10326</x:v>
      </x:c>
      <x:c r="E13" s="46">
        <x:v>6.0623668409839233</x:v>
      </x:c>
    </x:row>
    <x:row r="14" spans="1:5" s="41" customFormat="1" ht="25.5" customHeight="1">
      <x:c r="A14" s="43">
        <x:v>9</x:v>
      </x:c>
      <x:c r="B14" s="44" t="s">
        <x:v>6</x:v>
      </x:c>
      <x:c r="C14" s="45">
        <x:v>862</x:v>
      </x:c>
      <x:c r="D14" s="45">
        <x:v>14528</x:v>
      </x:c>
      <x:c r="E14" s="46">
        <x:v>5.9333700440528636</x:v>
      </x:c>
    </x:row>
    <x:row r="15" spans="1:5" s="41" customFormat="1" ht="25.5" customHeight="1">
      <x:c r="A15" s="43">
        <x:v>11</x:v>
      </x:c>
      <x:c r="B15" s="44" t="s">
        <x:v>12</x:v>
      </x:c>
      <x:c r="C15" s="45">
        <x:v>2242</x:v>
      </x:c>
      <x:c r="D15" s="45">
        <x:v>43288</x:v>
      </x:c>
      <x:c r="E15" s="46">
        <x:v>5.1792644612825729</x:v>
      </x:c>
    </x:row>
    <x:row r="16" spans="1:5" s="41" customFormat="1" ht="25.5" customHeight="1">
      <x:c r="A16" s="43">
        <x:v>16</x:v>
      </x:c>
      <x:c r="B16" s="44" t="s">
        <x:v>27</x:v>
      </x:c>
      <x:c r="C16" s="45">
        <x:v>215</x:v>
      </x:c>
      <x:c r="D16" s="45">
        <x:v>4592</x:v>
      </x:c>
      <x:c r="E16" s="46">
        <x:v>4.6820557491289199</x:v>
      </x:c>
    </x:row>
    <x:row r="17" spans="1:5" s="41" customFormat="1" ht="25.5" customHeight="1">
      <x:c r="A17" s="43">
        <x:v>15</x:v>
      </x:c>
      <x:c r="B17" s="44" t="s">
        <x:v>15</x:v>
      </x:c>
      <x:c r="C17" s="45">
        <x:v>876</x:v>
      </x:c>
      <x:c r="D17" s="45">
        <x:v>18648</x:v>
      </x:c>
      <x:c r="E17" s="46">
        <x:v>4.6975546975546978</x:v>
      </x:c>
    </x:row>
    <x:row r="18" spans="1:5" s="41" customFormat="1" ht="25.5" customHeight="1">
      <x:c r="A18" s="43">
        <x:v>14</x:v>
      </x:c>
      <x:c r="B18" s="44" t="s">
        <x:v>17</x:v>
      </x:c>
      <x:c r="C18" s="45">
        <x:v>413</x:v>
      </x:c>
      <x:c r="D18" s="45">
        <x:v>8744</x:v>
      </x:c>
      <x:c r="E18" s="46">
        <x:v>4.7232387923147305</x:v>
      </x:c>
    </x:row>
    <x:row r="19" spans="1:5" s="41" customFormat="1" ht="25.5" customHeight="1">
      <x:c r="A19" s="43">
        <x:v>12</x:v>
      </x:c>
      <x:c r="B19" s="44" t="s">
        <x:v>8</x:v>
      </x:c>
      <x:c r="C19" s="45">
        <x:v>851</x:v>
      </x:c>
      <x:c r="D19" s="45">
        <x:v>17902</x:v>
      </x:c>
      <x:c r="E19" s="46">
        <x:v>4.7536588090716121</x:v>
      </x:c>
    </x:row>
    <x:row r="20" spans="1:5" s="41" customFormat="1" ht="25.5" customHeight="1">
      <x:c r="A20" s="43">
        <x:v>13</x:v>
      </x:c>
      <x:c r="B20" s="47" t="s">
        <x:v>2</x:v>
      </x:c>
      <x:c r="C20" s="45">
        <x:v>397</x:v>
      </x:c>
      <x:c r="D20" s="45">
        <x:v>8379</x:v>
      </x:c>
      <x:c r="E20" s="46">
        <x:v>4.7380355651032344</x:v>
      </x:c>
    </x:row>
    <x:row r="21" spans="1:5" s="41" customFormat="1" ht="25.5" customHeight="1">
      <x:c r="A21" s="43">
        <x:v>18</x:v>
      </x:c>
      <x:c r="B21" s="44" t="s">
        <x:v>22</x:v>
      </x:c>
      <x:c r="C21" s="45">
        <x:v>332</x:v>
      </x:c>
      <x:c r="D21" s="45">
        <x:v>7712</x:v>
      </x:c>
      <x:c r="E21" s="46">
        <x:v>4.304979253112033</x:v>
      </x:c>
    </x:row>
    <x:row r="22" spans="1:5" s="41" customFormat="1" ht="25.5" customHeight="1">
      <x:c r="A22" s="43">
        <x:v>17</x:v>
      </x:c>
      <x:c r="B22" s="44" t="s">
        <x:v>21</x:v>
      </x:c>
      <x:c r="C22" s="45">
        <x:v>556</x:v>
      </x:c>
      <x:c r="D22" s="45">
        <x:v>12687</x:v>
      </x:c>
      <x:c r="E22" s="46">
        <x:v>4.3824387167967211</x:v>
      </x:c>
    </x:row>
    <x:row r="23" spans="1:5" s="41" customFormat="1" ht="25.5" customHeight="1">
      <x:c r="A23" s="43">
        <x:v>20</x:v>
      </x:c>
      <x:c r="B23" s="44" t="s">
        <x:v>14</x:v>
      </x:c>
      <x:c r="C23" s="45">
        <x:v>225</x:v>
      </x:c>
      <x:c r="D23" s="45">
        <x:v>7236</x:v>
      </x:c>
      <x:c r="E23" s="46">
        <x:v>3.1094527363184081</x:v>
      </x:c>
    </x:row>
    <x:row r="24" spans="1:5" s="41" customFormat="1" ht="25.5" customHeight="1">
      <x:c r="A24" s="43">
        <x:v>19</x:v>
      </x:c>
      <x:c r="B24" s="44" t="s">
        <x:v>5</x:v>
      </x:c>
      <x:c r="C24" s="45">
        <x:v>271</x:v>
      </x:c>
      <x:c r="D24" s="45">
        <x:v>7766</x:v>
      </x:c>
      <x:c r="E24" s="46">
        <x:v>3.4895699201648207</x:v>
      </x:c>
    </x:row>
    <x:row r="25" spans="1:5" s="41" customFormat="1" ht="25.5" customHeight="1">
      <x:c r="A25" s="43">
        <x:v>21</x:v>
      </x:c>
      <x:c r="B25" s="47" t="s">
        <x:v>10</x:v>
      </x:c>
      <x:c r="C25" s="45">
        <x:v>569</x:v>
      </x:c>
      <x:c r="D25" s="45">
        <x:v>20168</x:v>
      </x:c>
      <x:c r="E25" s="46">
        <x:v>2.8213010710035702</x:v>
      </x:c>
    </x:row>
    <x:row r="26" spans="1:5" s="41" customFormat="1" ht="25.5" customHeight="1">
      <x:c r="A26" s="43">
        <x:v>22</x:v>
      </x:c>
      <x:c r="B26" s="44" t="s">
        <x:v>11</x:v>
      </x:c>
      <x:c r="C26" s="45">
        <x:v>198</x:v>
      </x:c>
      <x:c r="D26" s="45">
        <x:v>8255</x:v>
      </x:c>
      <x:c r="E26" s="46">
        <x:v>2.3985463355542094</x:v>
      </x:c>
    </x:row>
    <x:row r="27" spans="1:5" s="41" customFormat="1" ht="25.5" customHeight="1">
      <x:c r="A27" s="43">
        <x:v>23</x:v>
      </x:c>
      <x:c r="B27" s="44" t="s">
        <x:v>16</x:v>
      </x:c>
      <x:c r="C27" s="45">
        <x:v>200</x:v>
      </x:c>
      <x:c r="D27" s="45">
        <x:v>9098</x:v>
      </x:c>
      <x:c r="E27" s="46">
        <x:v>2.1982853374367992</x:v>
      </x:c>
    </x:row>
    <x:row r="28" spans="1:5" s="41" customFormat="1" ht="25.5" customHeight="1">
      <x:c r="A28" s="48"/>
      <x:c r="B28" s="44" t="s">
        <x:v>39</x:v>
      </x:c>
      <x:c r="C28" s="45">
        <x:v>23</x:v>
      </x:c>
      <x:c r="D28" s="45">
        <x:v>821</x:v>
      </x:c>
      <x:c r="E28" s="46">
        <x:v>2.8014616321559074</x:v>
      </x:c>
    </x:row>
    <x:row r="29" spans="1:5" s="6" customFormat="1" ht="25.5" customHeight="1">
      <x:c r="A29" s="39"/>
      <x:c r="B29" s="9" t="s">
        <x:v>63</x:v>
      </x:c>
      <x:c r="C29" s="5">
        <x:v>23403</x:v>
      </x:c>
      <x:c r="D29" s="5">
        <x:v>337650</x:v>
      </x:c>
      <x:c r="E29" s="8">
        <x:v>6.9311417147934247</x:v>
      </x:c>
    </x:row>
  </x:sheetData>
  <x:mergeCells count="4">
    <x:mergeCell ref="B3:B4"/>
    <x:mergeCell ref="C3:E3"/>
    <x:mergeCell ref="A3:A4"/>
    <x:mergeCell ref="A1:E1"/>
  </x:mergeCells>
  <x:pageMargins left="0.69972223043441772" right="0.69972223043441772" top="0.75" bottom="0.75" header="0.30000001192092896" footer="0.30000001192092896"/>
  <x:pageSetup paperSize="9" scale="62" firstPageNumber="1" fitToWidth="1" fitToHeight="1" orientation="landscape" usePrinterDefaults="1" blackAndWhite="0" draft="0" useFirstPageNumber="0" horizontalDpi="3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pageSetUpPr autoPageBreaks="1" fitToPage="1"/>
  </x:sheetPr>
  <x:dimension ref="A1:F27"/>
  <x:sheetViews>
    <x:sheetView topLeftCell="A1" zoomScaleNormal="100" workbookViewId="0">
      <x:selection activeCell="A2" activeCellId="0" sqref="A2:F2"/>
    </x:sheetView>
  </x:sheetViews>
  <x:sheetFormatPr defaultColWidth="9.00390625" defaultRowHeight="16.399999999999999"/>
  <x:cols>
    <x:col min="1" max="1" width="9.00390625" bestFit="1" customWidth="1"/>
    <x:col min="3" max="4" width="14.125" bestFit="1" customWidth="1"/>
    <x:col min="5" max="5" width="15.75" bestFit="1" customWidth="1"/>
    <x:col min="6" max="6" width="10.125" customWidth="1"/>
  </x:cols>
  <x:sheetData>
    <x:row r="1" spans="1:6" ht="36.75" customHeight="1">
      <x:c r="A1" s="115" t="s">
        <x:v>1</x:v>
      </x:c>
      <x:c r="B1" s="115"/>
      <x:c r="C1" s="115"/>
      <x:c r="D1" s="115"/>
      <x:c r="E1" s="115"/>
      <x:c r="F1" s="115"/>
    </x:row>
    <x:row r="2" spans="1:6" s="42" customFormat="1" ht="22.5" customHeight="1">
      <x:c r="A2" s="116" t="s">
        <x:v>51</x:v>
      </x:c>
      <x:c r="B2" s="116"/>
      <x:c r="C2" s="116"/>
      <x:c r="D2" s="116"/>
      <x:c r="E2" s="116"/>
      <x:c r="F2" s="116"/>
    </x:row>
    <x:row r="3" spans="1:6" s="42" customFormat="1" ht="24" customHeight="1">
      <x:c r="A3" s="113" t="s">
        <x:v>65</x:v>
      </x:c>
      <x:c r="B3" s="110" t="s">
        <x:v>36</x:v>
      </x:c>
      <x:c r="C3" s="110" t="s">
        <x:v>30</x:v>
      </x:c>
      <x:c r="D3" s="110"/>
      <x:c r="E3" s="110"/>
      <x:c r="F3" s="112"/>
    </x:row>
    <x:row r="4" spans="1:6" s="42" customFormat="1" ht="24" customHeight="1">
      <x:c r="A4" s="114"/>
      <x:c r="B4" s="111"/>
      <x:c r="C4" s="61" t="s">
        <x:v>44</x:v>
      </x:c>
      <x:c r="D4" s="61" t="s">
        <x:v>45</x:v>
      </x:c>
      <x:c r="E4" s="61" t="s">
        <x:v>43</x:v>
      </x:c>
      <x:c r="F4" s="62" t="s">
        <x:v>33</x:v>
      </x:c>
    </x:row>
    <x:row r="5" spans="1:6" s="42" customFormat="1" ht="24" customHeight="1">
      <x:c r="A5" s="63">
        <x:v>1</x:v>
      </x:c>
      <x:c r="B5" s="64" t="s">
        <x:v>7</x:v>
      </x:c>
      <x:c r="C5" s="65">
        <x:v>103.6262911371243</x:v>
      </x:c>
      <x:c r="D5" s="65">
        <x:v>115.68295332084799</x:v>
      </x:c>
      <x:c r="E5" s="65">
        <x:v>94.547091046486258</x:v>
      </x:c>
      <x:c r="F5" s="66">
        <x:f>0.2*C5+0.6*D5+0.2*E5</x:f>
        <x:v>109.04444842923091</x:v>
      </x:c>
    </x:row>
    <x:row r="6" spans="1:6" s="42" customFormat="1" ht="24" customHeight="1">
      <x:c r="A6" s="49">
        <x:v>2</x:v>
      </x:c>
      <x:c r="B6" s="50" t="s">
        <x:v>12</x:v>
      </x:c>
      <x:c r="C6" s="51">
        <x:v>97.632530687672201</x:v>
      </x:c>
      <x:c r="D6" s="51">
        <x:v>108.01013566910811</x:v>
      </x:c>
      <x:c r="E6" s="51">
        <x:v>99.874376928394852</x:v>
      </x:c>
      <x:c r="F6" s="52">
        <x:f>0.2*C6+0.6*D6+0.2*E6</x:f>
        <x:v>104.30746292467828</x:v>
      </x:c>
    </x:row>
    <x:row r="7" spans="1:6" s="42" customFormat="1" ht="24" customHeight="1">
      <x:c r="A7" s="49">
        <x:v>3</x:v>
      </x:c>
      <x:c r="B7" s="53" t="s">
        <x:v>9</x:v>
      </x:c>
      <x:c r="C7" s="54">
        <x:v>103.53594097324562</x:v>
      </x:c>
      <x:c r="D7" s="54">
        <x:v>105.50577189744416</x:v>
      </x:c>
      <x:c r="E7" s="54">
        <x:v>98.097164922490109</x:v>
      </x:c>
      <x:c r="F7" s="55">
        <x:f>0.2*C7+0.6*D7+0.2*E7</x:f>
        <x:v>103.63008431761364</x:v>
      </x:c>
    </x:row>
    <x:row r="8" spans="1:6" s="42" customFormat="1" ht="24" customHeight="1">
      <x:c r="A8" s="49">
        <x:v>4</x:v>
      </x:c>
      <x:c r="B8" s="56" t="s">
        <x:v>18</x:v>
      </x:c>
      <x:c r="C8" s="54">
        <x:v>100.34369810365295</x:v>
      </x:c>
      <x:c r="D8" s="54">
        <x:v>101.92199930660631</x:v>
      </x:c>
      <x:c r="E8" s="54">
        <x:v>101.09768274482676</x:v>
      </x:c>
      <x:c r="F8" s="55">
        <x:f>0.2*C8+0.6*D8+0.2*E8</x:f>
        <x:v>101.44147575365973</x:v>
      </x:c>
    </x:row>
    <x:row r="9" spans="1:6" s="42" customFormat="1" ht="24" customHeight="1">
      <x:c r="A9" s="49">
        <x:v>5</x:v>
      </x:c>
      <x:c r="B9" s="56" t="s">
        <x:v>32</x:v>
      </x:c>
      <x:c r="C9" s="54">
        <x:v>99.437325875385369</x:v>
      </x:c>
      <x:c r="D9" s="54">
        <x:v>101.53558606937565</x:v>
      </x:c>
      <x:c r="E9" s="54">
        <x:v>101.86529293325873</x:v>
      </x:c>
      <x:c r="F9" s="55">
        <x:f>0.2*C9+0.6*D9+0.2*E9</x:f>
        <x:v>101.18187540335421</x:v>
      </x:c>
    </x:row>
    <x:row r="10" spans="1:6" s="42" customFormat="1" ht="24" customHeight="1">
      <x:c r="A10" s="49">
        <x:v>6</x:v>
      </x:c>
      <x:c r="B10" s="53" t="s">
        <x:v>19</x:v>
      </x:c>
      <x:c r="C10" s="54">
        <x:v>99.636531132222387</x:v>
      </x:c>
      <x:c r="D10" s="54">
        <x:v>101.42220246893932</x:v>
      </x:c>
      <x:c r="E10" s="54">
        <x:v>101.29070388955385</x:v>
      </x:c>
      <x:c r="F10" s="55">
        <x:f>0.2*C10+0.6*D10+0.2*E10</x:f>
        <x:v>101.03876848571883</x:v>
      </x:c>
    </x:row>
    <x:row r="11" spans="1:6" s="42" customFormat="1" ht="24" customHeight="1">
      <x:c r="A11" s="49">
        <x:v>7</x:v>
      </x:c>
      <x:c r="B11" s="56" t="s">
        <x:v>8</x:v>
      </x:c>
      <x:c r="C11" s="54">
        <x:v>93.098842338710085</x:v>
      </x:c>
      <x:c r="D11" s="54">
        <x:v>103.6776166079548</x:v>
      </x:c>
      <x:c r="E11" s="54">
        <x:v>100.74906338307706</x:v>
      </x:c>
      <x:c r="F11" s="55">
        <x:f>0.2*C11+0.6*D11+0.2*E11</x:f>
        <x:v>100.97615110913031</x:v>
      </x:c>
    </x:row>
    <x:row r="12" spans="1:6" s="42" customFormat="1" ht="24" customHeight="1">
      <x:c r="A12" s="49">
        <x:v>8</x:v>
      </x:c>
      <x:c r="B12" s="53" t="s">
        <x:v>35</x:v>
      </x:c>
      <x:c r="C12" s="54">
        <x:v>101.40510460037335</x:v>
      </x:c>
      <x:c r="D12" s="54">
        <x:v>100.71503830599625</x:v>
      </x:c>
      <x:c r="E12" s="54">
        <x:v>100.72405468001931</x:v>
      </x:c>
      <x:c r="F12" s="55">
        <x:f>0.2*C12+0.6*D12+0.2*E12</x:f>
        <x:v>100.85485483967628</x:v>
      </x:c>
    </x:row>
    <x:row r="13" spans="1:6" s="42" customFormat="1" ht="24" customHeight="1">
      <x:c r="A13" s="49">
        <x:v>9</x:v>
      </x:c>
      <x:c r="B13" s="56" t="s">
        <x:v>27</x:v>
      </x:c>
      <x:c r="C13" s="54">
        <x:v>100.37157968033597</x:v>
      </x:c>
      <x:c r="D13" s="54">
        <x:v>101.1838722018157</x:v>
      </x:c>
      <x:c r="E13" s="54">
        <x:v>98.182682857830883</x:v>
      </x:c>
      <x:c r="F13" s="55">
        <x:f>0.2*C13+0.6*D13+0.2*E13</x:f>
        <x:v>100.4211758287228</x:v>
      </x:c>
    </x:row>
    <x:row r="14" spans="1:6" s="42" customFormat="1" ht="24" customHeight="1">
      <x:c r="A14" s="49">
        <x:v>10</x:v>
      </x:c>
      <x:c r="B14" s="56" t="s">
        <x:v>29</x:v>
      </x:c>
      <x:c r="C14" s="54">
        <x:v>99.742742804546168</x:v>
      </x:c>
      <x:c r="D14" s="54">
        <x:v>100.9962836604884</x:v>
      </x:c>
      <x:c r="E14" s="54">
        <x:v>98.259655170736536</x:v>
      </x:c>
      <x:c r="F14" s="55">
        <x:f>0.2*C14+0.6*D14+0.2*E14</x:f>
        <x:v>100.19824979134958</x:v>
      </x:c>
    </x:row>
    <x:row r="15" spans="1:6" s="42" customFormat="1" ht="24" customHeight="1">
      <x:c r="A15" s="49">
        <x:v>11</x:v>
      </x:c>
      <x:c r="B15" s="53" t="s">
        <x:v>10</x:v>
      </x:c>
      <x:c r="C15" s="54">
        <x:v>99.935469499287706</x:v>
      </x:c>
      <x:c r="D15" s="54">
        <x:v>101.2004192458805</x:v>
      </x:c>
      <x:c r="E15" s="54">
        <x:v>96.340401985259547</x:v>
      </x:c>
      <x:c r="F15" s="55">
        <x:f>0.2*C15+0.6*D15+0.2*E15</x:f>
        <x:v>99.975425844437751</x:v>
      </x:c>
    </x:row>
    <x:row r="16" spans="1:6" s="42" customFormat="1" ht="24" customHeight="1">
      <x:c r="A16" s="49">
        <x:v>12</x:v>
      </x:c>
      <x:c r="B16" s="53" t="s">
        <x:v>28</x:v>
      </x:c>
      <x:c r="C16" s="54">
        <x:v>97.346043256477174</x:v>
      </x:c>
      <x:c r="D16" s="54">
        <x:v>102.09504628461946</x:v>
      </x:c>
      <x:c r="E16" s="54">
        <x:v>96.006200718909369</x:v>
      </x:c>
      <x:c r="F16" s="55">
        <x:f>0.2*C16+0.6*D16+0.2*E16</x:f>
        <x:v>99.927476565848977</x:v>
      </x:c>
    </x:row>
    <x:row r="17" spans="1:6" s="42" customFormat="1" ht="24" customHeight="1">
      <x:c r="A17" s="49">
        <x:v>13</x:v>
      </x:c>
      <x:c r="B17" s="53" t="s">
        <x:v>6</x:v>
      </x:c>
      <x:c r="C17" s="54">
        <x:v>91.935603865840875</x:v>
      </x:c>
      <x:c r="D17" s="54">
        <x:v>101.69851152513468</x:v>
      </x:c>
      <x:c r="E17" s="54">
        <x:v>99.236894506268854</x:v>
      </x:c>
      <x:c r="F17" s="55">
        <x:f>0.2*C17+0.6*D17+0.2*E17</x:f>
        <x:v>99.253606589502752</x:v>
      </x:c>
    </x:row>
    <x:row r="18" spans="1:6" s="42" customFormat="1" ht="24" customHeight="1">
      <x:c r="A18" s="49">
        <x:v>14</x:v>
      </x:c>
      <x:c r="B18" s="56" t="s">
        <x:v>20</x:v>
      </x:c>
      <x:c r="C18" s="54">
        <x:v>105.14043071978942</x:v>
      </x:c>
      <x:c r="D18" s="54">
        <x:v>97.239751107316536</x:v>
      </x:c>
      <x:c r="E18" s="54">
        <x:v>98.343786479882283</x:v>
      </x:c>
      <x:c r="F18" s="55">
        <x:f>0.2*C18+0.6*D18+0.2*E18</x:f>
        <x:v>99.040694104324274</x:v>
      </x:c>
    </x:row>
    <x:row r="19" spans="1:6" s="42" customFormat="1" ht="24" customHeight="1">
      <x:c r="A19" s="49">
        <x:v>15</x:v>
      </x:c>
      <x:c r="B19" s="56" t="s">
        <x:v>13</x:v>
      </x:c>
      <x:c r="C19" s="54">
        <x:v>95.654972841387789</x:v>
      </x:c>
      <x:c r="D19" s="54">
        <x:v>100.7501137214001</x:v>
      </x:c>
      <x:c r="E19" s="54">
        <x:v>96.182590991874591</x:v>
      </x:c>
      <x:c r="F19" s="55">
        <x:f>0.2*C19+0.6*D19+0.2*E19</x:f>
        <x:v>98.817580999492534</x:v>
      </x:c>
    </x:row>
    <x:row r="20" spans="1:6" s="42" customFormat="1" ht="24" customHeight="1">
      <x:c r="A20" s="49">
        <x:v>16</x:v>
      </x:c>
      <x:c r="B20" s="56" t="s">
        <x:v>16</x:v>
      </x:c>
      <x:c r="C20" s="54">
        <x:v>100.50098408573524</x:v>
      </x:c>
      <x:c r="D20" s="54">
        <x:v>99.792722118252357</x:v>
      </x:c>
      <x:c r="E20" s="54">
        <x:v>93.496328539609692</x:v>
      </x:c>
      <x:c r="F20" s="55">
        <x:f>0.2*C20+0.6*D20+0.2*E20</x:f>
        <x:v>98.6750957960204</x:v>
      </x:c>
    </x:row>
    <x:row r="21" spans="1:6" s="42" customFormat="1" ht="24" customHeight="1">
      <x:c r="A21" s="49">
        <x:v>17</x:v>
      </x:c>
      <x:c r="B21" s="53" t="s">
        <x:v>21</x:v>
      </x:c>
      <x:c r="C21" s="54">
        <x:v>99.772826433208323</x:v>
      </x:c>
      <x:c r="D21" s="54">
        <x:v>98.839866658427439</x:v>
      </x:c>
      <x:c r="E21" s="54">
        <x:v>96.027970432068912</x:v>
      </x:c>
      <x:c r="F21" s="55">
        <x:f>0.2*C21+0.6*D21+0.2*E21</x:f>
        <x:v>98.464079368111911</x:v>
      </x:c>
    </x:row>
    <x:row r="22" spans="1:6" s="42" customFormat="1" ht="24" customHeight="1">
      <x:c r="A22" s="49">
        <x:v>18</x:v>
      </x:c>
      <x:c r="B22" s="56" t="s">
        <x:v>17</x:v>
      </x:c>
      <x:c r="C22" s="54">
        <x:v>99.493814845249048</x:v>
      </x:c>
      <x:c r="D22" s="54">
        <x:v>97.869909542362265</x:v>
      </x:c>
      <x:c r="E22" s="54">
        <x:v>97.827019608516281</x:v>
      </x:c>
      <x:c r="F22" s="55">
        <x:f>0.2*C22+0.6*D22+0.2*E22</x:f>
        <x:v>98.186112616170419</x:v>
      </x:c>
    </x:row>
    <x:row r="23" spans="1:6" s="42" customFormat="1" ht="24" customHeight="1">
      <x:c r="A23" s="49">
        <x:v>19</x:v>
      </x:c>
      <x:c r="B23" s="53" t="s">
        <x:v>22</x:v>
      </x:c>
      <x:c r="C23" s="54">
        <x:v>99.883674141505352</x:v>
      </x:c>
      <x:c r="D23" s="54">
        <x:v>97.150605732597967</x:v>
      </x:c>
      <x:c r="E23" s="54">
        <x:v>97.086613022176778</x:v>
      </x:c>
      <x:c r="F23" s="55">
        <x:f>0.2*C23+0.6*D23+0.2*E23</x:f>
        <x:v>97.684420872295206</x:v>
      </x:c>
    </x:row>
    <x:row r="24" spans="1:6" s="42" customFormat="1" ht="24" customHeight="1">
      <x:c r="A24" s="49">
        <x:v>20</x:v>
      </x:c>
      <x:c r="B24" s="53" t="s">
        <x:v>14</x:v>
      </x:c>
      <x:c r="C24" s="54">
        <x:v>99.506761513968328</x:v>
      </x:c>
      <x:c r="D24" s="54">
        <x:v>96.526834542281875</x:v>
      </x:c>
      <x:c r="E24" s="54">
        <x:v>96.653278808001858</x:v>
      </x:c>
      <x:c r="F24" s="55">
        <x:f>0.2*C24+0.6*D24+0.2*E24</x:f>
        <x:v>97.148108789763157</x:v>
      </x:c>
    </x:row>
    <x:row r="25" spans="1:6" s="42" customFormat="1" ht="24" customHeight="1">
      <x:c r="A25" s="49">
        <x:v>21</x:v>
      </x:c>
      <x:c r="B25" s="53" t="s">
        <x:v>11</x:v>
      </x:c>
      <x:c r="C25" s="54">
        <x:v>98.550184693384395</x:v>
      </x:c>
      <x:c r="D25" s="54">
        <x:v>96.435023690268153</x:v>
      </x:c>
      <x:c r="E25" s="54">
        <x:v>97.779012487326668</x:v>
      </x:c>
      <x:c r="F25" s="55">
        <x:f>0.2*C25+0.6*D25+0.2*E25</x:f>
        <x:v>97.126853650303104</x:v>
      </x:c>
    </x:row>
    <x:row r="26" spans="1:6" s="42" customFormat="1" ht="24" customHeight="1">
      <x:c r="A26" s="49">
        <x:v>22</x:v>
      </x:c>
      <x:c r="B26" s="56" t="s">
        <x:v>23</x:v>
      </x:c>
      <x:c r="C26" s="54">
        <x:v>99.032791035081075</x:v>
      </x:c>
      <x:c r="D26" s="54">
        <x:v>95.611341548418011</x:v>
      </x:c>
      <x:c r="E26" s="54">
        <x:v>98.054666715256062</x:v>
      </x:c>
      <x:c r="F26" s="55">
        <x:f>0.2*C26+0.6*D26+0.2*E26</x:f>
        <x:v>96.78429647911824</x:v>
      </x:c>
    </x:row>
    <x:row r="27" spans="1:6" s="42" customFormat="1" ht="24" customHeight="1">
      <x:c r="A27" s="57">
        <x:v>23</x:v>
      </x:c>
      <x:c r="B27" s="58" t="s">
        <x:v>15</x:v>
      </x:c>
      <x:c r="C27" s="59">
        <x:v>98.173136687527119</x:v>
      </x:c>
      <x:c r="D27" s="59">
        <x:v>94.636543492493857</x:v>
      </x:c>
      <x:c r="E27" s="59">
        <x:v>101.52613104650123</x:v>
      </x:c>
      <x:c r="F27" s="60">
        <x:f>0.2*C27+0.6*D27+0.2*E27</x:f>
        <x:v>96.721779642301982</x:v>
      </x:c>
    </x:row>
  </x:sheetData>
  <x:mergeCells count="5">
    <x:mergeCell ref="B3:B4"/>
    <x:mergeCell ref="C3:F3"/>
    <x:mergeCell ref="A3:A4"/>
    <x:mergeCell ref="A1:F1"/>
    <x:mergeCell ref="A2:F2"/>
  </x:mergeCells>
  <x:printOptions horizontalCentered="1" verticalCentered="1" headings="0" gridLines="0" gridLinesSet="1"/>
  <x:pageMargins left="0.7086111307144165" right="0.7086111307144165" top="0.74777776002883911" bottom="0.74777776002883911" header="0.31486111879348755" footer="0.31486111879348755"/>
  <x:pageSetup paperSize="9" scale="74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ff0000"/>
    <x:pageSetUpPr autoPageBreaks="1" fitToPage="1"/>
  </x:sheetPr>
  <x:dimension ref="A1:M30"/>
  <x:sheetViews>
    <x:sheetView showGridLines="0" topLeftCell="A1" zoomScaleNormal="100" workbookViewId="0">
      <x:pane xSplit="1" ySplit="5" topLeftCell="B6" activePane="bottomRight" state="frozen"/>
      <x:selection pane="bottomRight" activeCell="B1" activeCellId="0" sqref="B1:XFD5"/>
    </x:sheetView>
  </x:sheetViews>
  <x:sheetFormatPr defaultColWidth="0" defaultRowHeight="16.399999999999999"/>
  <x:cols>
    <x:col min="1" max="1" width="0.75" style="14" customWidth="1"/>
    <x:col min="2" max="2" width="7.125" style="15" customWidth="1"/>
    <x:col min="3" max="3" width="15.25" style="15" customWidth="1"/>
    <x:col min="4" max="4" width="13.125" style="16" customWidth="1"/>
    <x:col min="5" max="7" width="13.125" style="15" customWidth="1"/>
    <x:col min="8" max="8" width="16.375" style="15" customWidth="1"/>
    <x:col min="9" max="9" width="16.625" style="15" customWidth="1"/>
    <x:col min="10" max="11" width="13.125" style="15" customWidth="1"/>
    <x:col min="12" max="12" width="13.125" style="14" customWidth="1"/>
    <x:col min="13" max="13" width="1.5" style="14" customWidth="1"/>
    <x:col min="14" max="23" width="0" style="15" hidden="1"/>
    <x:col min="24" max="16384" width="9" style="15" hidden="1"/>
  </x:cols>
  <x:sheetData>
    <x:row r="1" spans="2:12" ht="44.25" customHeight="1">
      <x:c r="B1" s="91" t="s">
        <x:v>57</x:v>
      </x:c>
      <x:c r="C1" s="91"/>
      <x:c r="D1" s="91"/>
      <x:c r="E1" s="91"/>
      <x:c r="F1" s="91"/>
      <x:c r="G1" s="91"/>
      <x:c r="H1" s="91"/>
      <x:c r="I1" s="91"/>
      <x:c r="J1" s="91"/>
      <x:c r="K1" s="91"/>
      <x:c r="L1" s="91"/>
    </x:row>
    <x:row r="2" spans="13:13" ht="14.25" customHeight="1">
      <x:c r="M2" s="17"/>
    </x:row>
    <x:row r="3" spans="2:12">
      <x:c r="B3" s="18"/>
      <x:c r="D3" s="19"/>
      <x:c r="L3" s="20" t="s">
        <x:v>40</x:v>
      </x:c>
    </x:row>
    <x:row r="4" spans="1:13" s="10" customFormat="1" ht="29.25" customHeight="1">
      <x:c r="A4" s="21"/>
      <x:c r="B4" s="92" t="s">
        <x:v>65</x:v>
      </x:c>
      <x:c r="C4" s="93" t="s">
        <x:v>3</x:v>
      </x:c>
      <x:c r="D4" s="93" t="s">
        <x:v>49</x:v>
      </x:c>
      <x:c r="E4" s="93"/>
      <x:c r="F4" s="93"/>
      <x:c r="G4" s="93"/>
      <x:c r="H4" s="94" t="s">
        <x:v>55</x:v>
      </x:c>
      <x:c r="I4" s="94"/>
      <x:c r="J4" s="94"/>
      <x:c r="K4" s="94"/>
      <x:c r="L4" s="95" t="s">
        <x:v>46</x:v>
      </x:c>
      <x:c r="M4" s="21"/>
    </x:row>
    <x:row r="5" spans="1:13" s="10" customFormat="1" ht="54" customHeight="1">
      <x:c r="A5" s="21"/>
      <x:c r="B5" s="92"/>
      <x:c r="C5" s="93"/>
      <x:c r="D5" s="22" t="s">
        <x:v>66</x:v>
      </x:c>
      <x:c r="E5" s="22" t="s">
        <x:v>67</x:v>
      </x:c>
      <x:c r="F5" s="23" t="s">
        <x:v>34</x:v>
      </x:c>
      <x:c r="G5" s="23" t="s">
        <x:v>48</x:v>
      </x:c>
      <x:c r="H5" s="23" t="s">
        <x:v>47</x:v>
      </x:c>
      <x:c r="I5" s="23" t="s">
        <x:v>50</x:v>
      </x:c>
      <x:c r="J5" s="23" t="s">
        <x:v>56</x:v>
      </x:c>
      <x:c r="K5" s="23" t="s">
        <x:v>52</x:v>
      </x:c>
      <x:c r="L5" s="95"/>
      <x:c r="M5" s="21"/>
    </x:row>
    <x:row r="6" spans="2:12" ht="19.5" customHeight="1">
      <x:c r="B6" s="24">
        <x:v>1</x:v>
      </x:c>
      <x:c r="C6" s="25" t="s">
        <x:v>12</x:v>
      </x:c>
      <x:c r="D6" s="26">
        <x:v>103333.33333333333</x:v>
      </x:c>
      <x:c r="E6" s="27">
        <x:f>VLOOKUP(C6,'[1]보험자료'!$B$5:$G$27,5,0)/1000</x:f>
        <x:v>124099.231</x:v>
      </x:c>
      <x:c r="F6" s="28">
        <x:f>E6/D6*100</x:f>
        <x:v>120.09603</x:v>
      </x:c>
      <x:c r="G6" s="29">
        <x:f>F6/MAX($F$6:$F$28)*50</x:f>
        <x:v>38.201676130497546</x:v>
      </x:c>
      <x:c r="H6" s="30">
        <x:f>VLOOKUP(C6,'[1]보험자료'!$B$5:$G$27,3,0)/1000</x:f>
        <x:v>38779</x:v>
      </x:c>
      <x:c r="I6" s="27">
        <x:f>VLOOKUP(C6,'[1]보험자료'!$B$5:$G$27,6,0)/1000</x:f>
        <x:v>65108.366999999998</x:v>
      </x:c>
      <x:c r="J6" s="28">
        <x:f>I6/H6*100-100</x:f>
        <x:v>67.895941102142899</x:v>
      </x:c>
      <x:c r="K6" s="31">
        <x:f>J6/MAX($J$6:$J$28)*50</x:f>
        <x:v>50</x:v>
      </x:c>
      <x:c r="L6" s="32">
        <x:f>G6+K6</x:f>
        <x:v>88.201676130497546</x:v>
      </x:c>
    </x:row>
    <x:row r="7" spans="2:12" ht="19.5" customHeight="1">
      <x:c r="B7" s="24">
        <x:v>2</x:v>
      </x:c>
      <x:c r="C7" s="25" t="s">
        <x:v>11</x:v>
      </x:c>
      <x:c r="D7" s="26">
        <x:v>75583.333333333328</x:v>
      </x:c>
      <x:c r="E7" s="27">
        <x:f>VLOOKUP(C7,'[1]보험자료'!$B$5:$G$27,5,0)/1000</x:f>
        <x:v>118807.068</x:v>
      </x:c>
      <x:c r="F7" s="28">
        <x:f>E7/D7*100</x:f>
        <x:v>157.18685953693497</x:v>
      </x:c>
      <x:c r="G7" s="29">
        <x:f>F7/MAX($F$6:$F$28)*50</x:f>
        <x:v>50</x:v>
      </x:c>
      <x:c r="H7" s="30">
        <x:f>VLOOKUP(C7,'[1]보험자료'!$B$5:$G$27,3,0)/1000</x:f>
        <x:v>58109.069000000003</x:v>
      </x:c>
      <x:c r="I7" s="27">
        <x:f>VLOOKUP(C7,'[1]보험자료'!$B$5:$G$27,6,0)/1000</x:f>
        <x:v>81712.066999999995</x:v>
      </x:c>
      <x:c r="J7" s="28">
        <x:f>I7/H7*100-100</x:f>
        <x:v>40.618441159330899</x:v>
      </x:c>
      <x:c r="K7" s="31">
        <x:f>J7/MAX($J$6:$J$28)*50</x:f>
        <x:v>29.912274946026869</x:v>
      </x:c>
      <x:c r="L7" s="32">
        <x:f>G7+K7</x:f>
        <x:v>79.912274946026869</x:v>
      </x:c>
    </x:row>
    <x:row r="8" spans="2:12" ht="19.5" customHeight="1">
      <x:c r="B8" s="24">
        <x:v>3</x:v>
      </x:c>
      <x:c r="C8" s="25" t="s">
        <x:v>22</x:v>
      </x:c>
      <x:c r="D8" s="26">
        <x:v>74500</x:v>
      </x:c>
      <x:c r="E8" s="27">
        <x:f>VLOOKUP(C8,'[1]보험자료'!$B$5:$G$27,5,0)/1000</x:f>
        <x:v>97640.164000000004</x:v>
      </x:c>
      <x:c r="F8" s="28">
        <x:f>E8/D8*100</x:f>
        <x:v>131.06062281879196</x:v>
      </x:c>
      <x:c r="G8" s="29">
        <x:f>F8/MAX($F$6:$F$28)*50</x:f>
        <x:v>41.689433583980978</x:v>
      </x:c>
      <x:c r="H8" s="30">
        <x:f>VLOOKUP(C8,'[1]보험자료'!$B$5:$G$27,3,0)/1000</x:f>
        <x:v>68329.649000000005</x:v>
      </x:c>
      <x:c r="I8" s="27">
        <x:f>VLOOKUP(C8,'[1]보험자료'!$B$5:$G$27,6,0)/1000</x:f>
        <x:v>86493.887000000002</x:v>
      </x:c>
      <x:c r="J8" s="28">
        <x:f>I8/H8*100-100</x:f>
        <x:v>26.583244998082762</x:v>
      </x:c>
      <x:c r="K8" s="31">
        <x:f>J8/MAX($J$6:$J$28)*50</x:f>
        <x:v>19.576461101033146</x:v>
      </x:c>
      <x:c r="L8" s="32">
        <x:f>G8+K8</x:f>
        <x:v>61.265894685014125</x:v>
      </x:c>
    </x:row>
    <x:row r="9" spans="2:12" ht="18.75" customHeight="1">
      <x:c r="B9" s="24">
        <x:v>4</x:v>
      </x:c>
      <x:c r="C9" s="25" t="s">
        <x:v>2</x:v>
      </x:c>
      <x:c r="D9" s="26">
        <x:v>64583.333333333336</x:v>
      </x:c>
      <x:c r="E9" s="27">
        <x:f>VLOOKUP(C9,'[1]보험자료'!$B$5:$G$27,5,0)/1000</x:f>
        <x:v>69619.235000000001</x:v>
      </x:c>
      <x:c r="F9" s="28">
        <x:f>E9/D9*100</x:f>
        <x:v>107.79752516129031</x:v>
      </x:c>
      <x:c r="G9" s="29">
        <x:f>F9/MAX($F$6:$F$28)*50</x:f>
        <x:v>34.289610937853425</x:v>
      </x:c>
      <x:c r="H9" s="30">
        <x:f>VLOOKUP(C9,'[1]보험자료'!$B$5:$G$27,3,0)/1000</x:f>
        <x:v>43595.470999999998</x:v>
      </x:c>
      <x:c r="I9" s="27">
        <x:f>VLOOKUP(C9,'[1]보험자료'!$B$5:$G$27,6,0)/1000</x:f>
        <x:v>55572.322</x:v>
      </x:c>
      <x:c r="J9" s="28">
        <x:f>I9/H9*100-100</x:f>
        <x:v>27.472695500869818</x:v>
      </x:c>
      <x:c r="K9" s="31">
        <x:f>J9/MAX($J$6:$J$28)*50</x:f>
        <x:v>20.231471171111536</x:v>
      </x:c>
      <x:c r="L9" s="32">
        <x:f>G9+K9</x:f>
        <x:v>54.521082108964961</x:v>
      </x:c>
    </x:row>
    <x:row r="10" spans="2:12" ht="19.5" customHeight="1">
      <x:c r="B10" s="24">
        <x:v>5</x:v>
      </x:c>
      <x:c r="C10" s="25" t="s">
        <x:v>7</x:v>
      </x:c>
      <x:c r="D10" s="26">
        <x:v>104833.33333333333</x:v>
      </x:c>
      <x:c r="E10" s="27">
        <x:f>VLOOKUP(C10,'[1]보험자료'!$B$5:$G$27,5,0)/1000</x:f>
        <x:v>102341.829</x:v>
      </x:c>
      <x:c r="F10" s="28">
        <x:f>E10/D10*100</x:f>
        <x:v>97.62336629570747</x:v>
      </x:c>
      <x:c r="G10" s="29">
        <x:f>F10/MAX($F$6:$F$28)*50</x:f>
        <x:v>31.053284792157971</x:v>
      </x:c>
      <x:c r="H10" s="30">
        <x:f>VLOOKUP(C10,'[1]보험자료'!$B$5:$G$27,3,0)/1000</x:f>
        <x:v>66767.153000000006</x:v>
      </x:c>
      <x:c r="I10" s="27">
        <x:f>VLOOKUP(C10,'[1]보험자료'!$B$5:$G$27,6,0)/1000</x:f>
        <x:v>87923.082999999999</x:v>
      </x:c>
      <x:c r="J10" s="28">
        <x:f>I10/H10*100-100</x:f>
        <x:v>31.686134647676226</x:v>
      </x:c>
      <x:c r="K10" s="31">
        <x:f>J10/MAX($J$6:$J$28)*50</x:f>
        <x:v>23.334336436995173</x:v>
      </x:c>
      <x:c r="L10" s="32">
        <x:f>G10+K10</x:f>
        <x:v>54.38762122915314</x:v>
      </x:c>
    </x:row>
    <x:row r="11" spans="2:12" ht="19.5" customHeight="1">
      <x:c r="B11" s="24">
        <x:v>6</x:v>
      </x:c>
      <x:c r="C11" s="25" t="s">
        <x:v>16</x:v>
      </x:c>
      <x:c r="D11" s="26">
        <x:v>72500</x:v>
      </x:c>
      <x:c r="E11" s="27">
        <x:f>VLOOKUP(C11,'[1]보험자료'!$B$5:$G$27,5,0)/1000</x:f>
        <x:v>83047.509999999995</x:v>
      </x:c>
      <x:c r="F11" s="28">
        <x:f>E11/D11*100</x:f>
        <x:v>114.54828965517241</x:v>
      </x:c>
      <x:c r="G11" s="29">
        <x:f>F11/MAX($F$6:$F$28)*50</x:f>
        <x:v>36.436980162535924</x:v>
      </x:c>
      <x:c r="H11" s="30">
        <x:f>VLOOKUP(C11,'[1]보험자료'!$B$5:$G$27,3,0)/1000</x:f>
        <x:v>56449.760000000002</x:v>
      </x:c>
      <x:c r="I11" s="27">
        <x:f>VLOOKUP(C11,'[1]보험자료'!$B$5:$G$27,6,0)/1000</x:f>
        <x:v>69994.297000000006</x:v>
      </x:c>
      <x:c r="J11" s="28">
        <x:f>I11/H11*100-100</x:f>
        <x:v>23.993967379135015</x:v>
      </x:c>
      <x:c r="K11" s="31">
        <x:f>J11/MAX($J$6:$J$28)*50</x:f>
        <x:v>17.669662567191168</x:v>
      </x:c>
      <x:c r="L11" s="32">
        <x:f>G11+K11</x:f>
        <x:v>54.106642729727092</x:v>
      </x:c>
    </x:row>
    <x:row r="12" spans="2:12" ht="19.5" customHeight="1">
      <x:c r="B12" s="24">
        <x:v>7</x:v>
      </x:c>
      <x:c r="C12" s="25" t="s">
        <x:v>19</x:v>
      </x:c>
      <x:c r="D12" s="26">
        <x:v>106000</x:v>
      </x:c>
      <x:c r="E12" s="27">
        <x:f>VLOOKUP(C12,'[1]보험자료'!$B$5:$G$27,5,0)/1000</x:f>
        <x:v>119562.546</x:v>
      </x:c>
      <x:c r="F12" s="28">
        <x:f>E12/D12*100</x:f>
        <x:v>112.79485471698113</x:v>
      </x:c>
      <x:c r="G12" s="29">
        <x:f>F12/MAX($F$6:$F$28)*50</x:f>
        <x:v>35.879225225718429</x:v>
      </x:c>
      <x:c r="H12" s="30">
        <x:f>VLOOKUP(C12,'[1]보험자료'!$B$5:$G$27,3,0)/1000</x:f>
        <x:v>86073.966</x:v>
      </x:c>
      <x:c r="I12" s="27">
        <x:f>VLOOKUP(C12,'[1]보험자료'!$B$5:$G$27,6,0)/1000</x:f>
        <x:v>106407.601</x:v>
      </x:c>
      <x:c r="J12" s="28">
        <x:f>I12/H12*100-100</x:f>
        <x:v>23.623443818076169</x:v>
      </x:c>
      <x:c r="K12" s="31">
        <x:f>J12/MAX($J$6:$J$28)*50</x:f>
        <x:v>17.39680121860081</x:v>
      </x:c>
      <x:c r="L12" s="32">
        <x:f>G12+K12</x:f>
        <x:v>53.276026444319243</x:v>
      </x:c>
    </x:row>
    <x:row r="13" spans="1:13" s="11" customFormat="1" ht="19.5" customHeight="1">
      <x:c r="A13" s="14"/>
      <x:c r="B13" s="24">
        <x:v>8</x:v>
      </x:c>
      <x:c r="C13" s="25" t="s">
        <x:v>4</x:v>
      </x:c>
      <x:c r="D13" s="26">
        <x:v>62166.666666666664</x:v>
      </x:c>
      <x:c r="E13" s="27">
        <x:f>VLOOKUP(C13,'[1]보험자료'!$B$5:$G$27,5,0)/1000</x:f>
        <x:v>64374.953000000001</x:v>
      </x:c>
      <x:c r="F13" s="28">
        <x:f>E13/D13*100</x:f>
        <x:v>103.55220321715819</x:v>
      </x:c>
      <x:c r="G13" s="29">
        <x:f>F13/MAX($F$6:$F$28)*50</x:f>
        <x:v>32.939204817189577</x:v>
      </x:c>
      <x:c r="H13" s="30">
        <x:f>VLOOKUP(C13,'[1]보험자료'!$B$5:$G$27,3,0)/1000</x:f>
        <x:v>44904.764999999999</x:v>
      </x:c>
      <x:c r="I13" s="27">
        <x:f>VLOOKUP(C13,'[1]보험자료'!$B$5:$G$27,6,0)/1000</x:f>
        <x:v>54901.506999999998</x:v>
      </x:c>
      <x:c r="J13" s="28">
        <x:f>I13/H13*100-100</x:f>
        <x:v>22.262096238561767</x:v>
      </x:c>
      <x:c r="K13" s="31">
        <x:f>J13/MAX($J$6:$J$28)*50</x:f>
        <x:v>16.3942762094354</x:v>
      </x:c>
      <x:c r="L13" s="32">
        <x:f>G13+K13</x:f>
        <x:v>49.33348102662498</x:v>
      </x:c>
      <x:c r="M13" s="14"/>
    </x:row>
    <x:row r="14" spans="2:12" ht="19.5" customHeight="1">
      <x:c r="B14" s="24">
        <x:v>9</x:v>
      </x:c>
      <x:c r="C14" s="25" t="s">
        <x:v>17</x:v>
      </x:c>
      <x:c r="D14" s="26">
        <x:v>68916.666666666672</x:v>
      </x:c>
      <x:c r="E14" s="27">
        <x:f>VLOOKUP(C14,'[1]보험자료'!$B$5:$G$27,5,0)/1000</x:f>
        <x:v>82543.835000000006</x:v>
      </x:c>
      <x:c r="F14" s="28">
        <x:f>E14/D14*100</x:f>
        <x:v>119.77340024183798</x:v>
      </x:c>
      <x:c r="G14" s="29">
        <x:f>F14/MAX($F$6:$F$28)*50</x:f>
        <x:v>38.099049944341637</x:v>
      </x:c>
      <x:c r="H14" s="30">
        <x:f>VLOOKUP(C14,'[1]보험자료'!$B$5:$G$27,3,0)/1000</x:f>
        <x:v>59082.606</x:v>
      </x:c>
      <x:c r="I14" s="27">
        <x:f>VLOOKUP(C14,'[1]보험자료'!$B$5:$G$27,6,0)/1000</x:f>
        <x:v>64384.351000000002</x:v>
      </x:c>
      <x:c r="J14" s="28">
        <x:f>I14/H14*100-100</x:f>
        <x:v>8.9734447393874319</x:v>
      </x:c>
      <x:c r="K14" s="31">
        <x:f>J14/MAX($J$6:$J$28)*50</x:f>
        <x:v>6.6082335657500861</x:v>
      </x:c>
      <x:c r="L14" s="32">
        <x:f>G14+K14</x:f>
        <x:v>44.70728351009172</x:v>
      </x:c>
    </x:row>
    <x:row r="15" spans="2:12" ht="19.5" customHeight="1">
      <x:c r="B15" s="24">
        <x:v>10</x:v>
      </x:c>
      <x:c r="C15" s="25" t="s">
        <x:v>8</x:v>
      </x:c>
      <x:c r="D15" s="26">
        <x:v>62083.333333333336</x:v>
      </x:c>
      <x:c r="E15" s="27">
        <x:f>VLOOKUP(C15,'[1]보험자료'!$B$5:$G$27,5,0)/1000</x:f>
        <x:v>61042.332000000002</x:v>
      </x:c>
      <x:c r="F15" s="28">
        <x:f>E15/D15*100</x:f>
        <x:v>98.323219328859054</x:v>
      </x:c>
      <x:c r="G15" s="29">
        <x:f>F15/MAX($F$6:$F$28)*50</x:f>
        <x:v>31.275902966225864</x:v>
      </x:c>
      <x:c r="H15" s="30">
        <x:f>VLOOKUP(C15,'[1]보험자료'!$B$5:$G$27,3,0)/1000</x:f>
        <x:v>43397.771999999997</x:v>
      </x:c>
      <x:c r="I15" s="27">
        <x:f>VLOOKUP(C15,'[1]보험자료'!$B$5:$G$27,6,0)/1000</x:f>
        <x:v>49119.548999999999</x:v>
      </x:c>
      <x:c r="J15" s="28">
        <x:f>I15/H15*100-100</x:f>
        <x:v>13.18449481692285</x:v>
      </x:c>
      <x:c r="K15" s="31">
        <x:f>J15/MAX($J$6:$J$28)*50</x:f>
        <x:v>9.7093394707410035</x:v>
      </x:c>
      <x:c r="L15" s="32">
        <x:f>G15+K15</x:f>
        <x:v>40.985242436966871</x:v>
      </x:c>
    </x:row>
    <x:row r="16" spans="2:12" ht="19.5" customHeight="1">
      <x:c r="B16" s="24">
        <x:v>11</x:v>
      </x:c>
      <x:c r="C16" s="25" t="s">
        <x:v>9</x:v>
      </x:c>
      <x:c r="D16" s="26">
        <x:v>72833.333333333328</x:v>
      </x:c>
      <x:c r="E16" s="27">
        <x:f>VLOOKUP(C16,'[1]보험자료'!$B$5:$G$27,5,0)/1000</x:f>
        <x:v>76446.029999999999</x:v>
      </x:c>
      <x:c r="F16" s="28">
        <x:f>E16/D16*100</x:f>
        <x:v>104.96022425629292</x:v>
      </x:c>
      <x:c r="G16" s="29">
        <x:f>F16/MAX($F$6:$F$28)*50</x:f>
        <x:v>33.387086097877635</x:v>
      </x:c>
      <x:c r="H16" s="30">
        <x:f>VLOOKUP(C16,'[1]보험자료'!$B$5:$G$27,3,0)/1000</x:f>
        <x:v>63466.192000000003</x:v>
      </x:c>
      <x:c r="I16" s="27">
        <x:f>VLOOKUP(C16,'[1]보험자료'!$B$5:$G$27,6,0)/1000</x:f>
        <x:v>69627.245999999999</x:v>
      </x:c>
      <x:c r="J16" s="28">
        <x:f>I16/H16*100-100</x:f>
        <x:v>9.7076156704029017</x:v>
      </x:c>
      <x:c r="K16" s="31">
        <x:f>J16/MAX($J$6:$J$28)*50</x:f>
        <x:v>7.1488924910833251</x:v>
      </x:c>
      <x:c r="L16" s="32">
        <x:f>G16+K16</x:f>
        <x:v>40.535978588960958</x:v>
      </x:c>
    </x:row>
    <x:row r="17" spans="2:12" ht="19.5" customHeight="1">
      <x:c r="B17" s="24">
        <x:v>12</x:v>
      </x:c>
      <x:c r="C17" s="25" t="s">
        <x:v>23</x:v>
      </x:c>
      <x:c r="D17" s="26">
        <x:v>125166.66666666667</x:v>
      </x:c>
      <x:c r="E17" s="27">
        <x:f>VLOOKUP(C17,'[1]보험자료'!$B$5:$G$27,5,0)/1000</x:f>
        <x:v>146581.07999999999</x:v>
      </x:c>
      <x:c r="F17" s="28">
        <x:f>E17/D17*100</x:f>
        <x:v>117.10871904127829</x:v>
      </x:c>
      <x:c r="G17" s="29">
        <x:f>F17/MAX($F$6:$F$28)*50</x:f>
        <x:v>37.251434180400004</x:v>
      </x:c>
      <x:c r="H17" s="30">
        <x:f>VLOOKUP(C17,'[1]보험자료'!$B$5:$G$27,3,0)/1000</x:f>
        <x:v>116992.33500000001</x:v>
      </x:c>
      <x:c r="I17" s="27">
        <x:f>VLOOKUP(C17,'[1]보험자료'!$B$5:$G$27,6,0)/1000</x:f>
        <x:v>120062.125</x:v>
      </x:c>
      <x:c r="J17" s="28">
        <x:f>I17/H17*100-100</x:f>
        <x:v>2.6239240374166286</x:v>
      </x:c>
      <x:c r="K17" s="31">
        <x:f>J17/MAX($J$6:$J$28)*50</x:f>
        <x:v>1.9323128855885421</x:v>
      </x:c>
      <x:c r="L17" s="32">
        <x:f>G17+K17</x:f>
        <x:v>39.183747065988548</x:v>
      </x:c>
    </x:row>
    <x:row r="18" spans="2:12" ht="19.5" customHeight="1">
      <x:c r="B18" s="24">
        <x:v>13</x:v>
      </x:c>
      <x:c r="C18" s="25" t="s">
        <x:v>10</x:v>
      </x:c>
      <x:c r="D18" s="26">
        <x:v>55666.666666666664</x:v>
      </x:c>
      <x:c r="E18" s="27">
        <x:f>VLOOKUP(C18,'[1]보험자료'!$B$5:$G$27,5,0)/1000</x:f>
        <x:v>53374.343000000001</x:v>
      </x:c>
      <x:c r="F18" s="28">
        <x:f>E18/D18*100</x:f>
        <x:v>95.882053293413179</x:v>
      </x:c>
      <x:c r="G18" s="29">
        <x:f>F18/MAX($F$6:$F$28)*50</x:f>
        <x:v>30.499385755233344</x:v>
      </x:c>
      <x:c r="H18" s="30">
        <x:f>VLOOKUP(C18,'[1]보험자료'!$B$5:$G$27,3,0)/1000</x:f>
        <x:v>36757.964</x:v>
      </x:c>
      <x:c r="I18" s="27">
        <x:f>VLOOKUP(C18,'[1]보험자료'!$B$5:$G$27,6,0)/1000</x:f>
        <x:v>40558.326999999997</x:v>
      </x:c>
      <x:c r="J18" s="28">
        <x:f>I18/H18*100-100</x:f>
        <x:v>10.338883296147742</x:v>
      </x:c>
      <x:c r="K18" s="31">
        <x:f>J18/MAX($J$6:$J$28)*50</x:f>
        <x:v>7.613771256660165</x:v>
      </x:c>
      <x:c r="L18" s="32">
        <x:f>G18+K18</x:f>
        <x:v>38.113157011893506</x:v>
      </x:c>
    </x:row>
    <x:row r="19" spans="2:12" ht="19.5" customHeight="1">
      <x:c r="B19" s="24">
        <x:v>14</x:v>
      </x:c>
      <x:c r="C19" s="25" t="s">
        <x:v>6</x:v>
      </x:c>
      <x:c r="D19" s="26">
        <x:v>95000</x:v>
      </x:c>
      <x:c r="E19" s="27">
        <x:f>VLOOKUP(C19,'[1]보험자료'!$B$5:$G$27,5,0)/1000</x:f>
        <x:v>91456.216</x:v>
      </x:c>
      <x:c r="F19" s="28">
        <x:f>E19/D19*100</x:f>
        <x:v>96.269701052631589</x:v>
      </x:c>
      <x:c r="G19" s="29">
        <x:f>F19/MAX($F$6:$F$28)*50</x:f>
        <x:v>30.622693695973556</x:v>
      </x:c>
      <x:c r="H19" s="30">
        <x:f>VLOOKUP(C19,'[1]보험자료'!$B$5:$G$27,3,0)/1000</x:f>
        <x:v>61574.677000000003</x:v>
      </x:c>
      <x:c r="I19" s="27">
        <x:f>VLOOKUP(C19,'[1]보험자료'!$B$5:$G$27,6,0)/1000</x:f>
        <x:v>67576.903999999995</x:v>
      </x:c>
      <x:c r="J19" s="28">
        <x:f>I19/H19*100-100</x:f>
        <x:v>9.7478822341203539</x:v>
      </x:c>
      <x:c r="K19" s="31">
        <x:f>J19/MAX($J$6:$J$28)*50</x:f>
        <x:v>7.1785456360753619</x:v>
      </x:c>
      <x:c r="L19" s="32">
        <x:f>G19+K19</x:f>
        <x:v>37.801239332048915</x:v>
      </x:c>
    </x:row>
    <x:row r="20" spans="2:12" ht="19.5" customHeight="1">
      <x:c r="B20" s="24">
        <x:v>15</x:v>
      </x:c>
      <x:c r="C20" s="25" t="s">
        <x:v>13</x:v>
      </x:c>
      <x:c r="D20" s="26">
        <x:v>64916.666666666664</x:v>
      </x:c>
      <x:c r="E20" s="27">
        <x:f>VLOOKUP(C20,'[1]보험자료'!$B$5:$G$27,5,0)/1000</x:f>
        <x:v>56505.809000000001</x:v>
      </x:c>
      <x:c r="F20" s="28">
        <x:f>E20/D20*100</x:f>
        <x:v>87.043608215661109</x:v>
      </x:c>
      <x:c r="G20" s="29">
        <x:f>F20/MAX($F$6:$F$28)*50</x:f>
        <x:v>27.687940478004158</x:v>
      </x:c>
      <x:c r="H20" s="30">
        <x:f>VLOOKUP(C20,'[1]보험자료'!$B$5:$G$27,3,0)/1000</x:f>
        <x:v>41188.249000000003</x:v>
      </x:c>
      <x:c r="I20" s="27">
        <x:f>VLOOKUP(C20,'[1]보험자료'!$B$5:$G$27,6,0)/1000</x:f>
        <x:v>46232.235000000001</x:v>
      </x:c>
      <x:c r="J20" s="28">
        <x:f>I20/H20*100-100</x:f>
        <x:v>12.246177301686203</x:v>
      </x:c>
      <x:c r="K20" s="31">
        <x:f>J20/MAX($J$6:$J$28)*50</x:f>
        <x:v>9.0183427042148274</x:v>
      </x:c>
      <x:c r="L20" s="32">
        <x:f>G20+K20</x:f>
        <x:v>36.706283182218982</x:v>
      </x:c>
    </x:row>
    <x:row r="21" spans="2:12" ht="19.5" customHeight="1">
      <x:c r="B21" s="24">
        <x:v>16</x:v>
      </x:c>
      <x:c r="C21" s="25" t="s">
        <x:v>20</x:v>
      </x:c>
      <x:c r="D21" s="26">
        <x:v>64250</x:v>
      </x:c>
      <x:c r="E21" s="27">
        <x:f>VLOOKUP(C21,'[1]보험자료'!$B$5:$G$27,5,0)/1000</x:f>
        <x:v>47497.942000000003</x:v>
      </x:c>
      <x:c r="F21" s="28">
        <x:f>E21/D21*100</x:f>
        <x:v>73.926757976653704</x:v>
      </x:c>
      <x:c r="G21" s="29">
        <x:f>F21/MAX($F$6:$F$28)*50</x:f>
        <x:v>23.515565548684673</x:v>
      </x:c>
      <x:c r="H21" s="30">
        <x:f>VLOOKUP(C21,'[1]보험자료'!$B$5:$G$27,3,0)/1000</x:f>
        <x:v>32347.366999999998</x:v>
      </x:c>
      <x:c r="I21" s="27">
        <x:f>VLOOKUP(C21,'[1]보험자료'!$B$5:$G$27,6,0)/1000</x:f>
        <x:v>34689.635999999999</x:v>
      </x:c>
      <x:c r="J21" s="28">
        <x:f>I21/H21*100-100</x:f>
        <x:v>7.2409881150450275</x:v>
      </x:c>
      <x:c r="K21" s="31">
        <x:f>J21/MAX($J$6:$J$28)*50</x:f>
        <x:v>5.3324160454243197</x:v>
      </x:c>
      <x:c r="L21" s="32">
        <x:f>G21+K21</x:f>
        <x:v>28.847981594108994</x:v>
      </x:c>
    </x:row>
    <x:row r="22" spans="1:13" s="12" customFormat="1" ht="19.5" customHeight="1">
      <x:c r="A22" s="14"/>
      <x:c r="B22" s="24">
        <x:v>17</x:v>
      </x:c>
      <x:c r="C22" s="25" t="s">
        <x:v>14</x:v>
      </x:c>
      <x:c r="D22" s="26">
        <x:v>60416.666666666664</x:v>
      </x:c>
      <x:c r="E22" s="27">
        <x:f>VLOOKUP(C22,'[1]보험자료'!$B$5:$G$27,5,0)/1000</x:f>
        <x:v>55259.364000000001</x:v>
      </x:c>
      <x:c r="F22" s="28">
        <x:f>E22/D22*100</x:f>
        <x:v>91.463774896551726</x:v>
      </x:c>
      <x:c r="G22" s="29">
        <x:f>F22/MAX($F$6:$F$28)*50</x:f>
        <x:v>29.093963441346069</x:v>
      </x:c>
      <x:c r="H22" s="30">
        <x:f>VLOOKUP(C22,'[1]보험자료'!$B$5:$G$27,3,0)/1000</x:f>
        <x:v>43874.220000000001</x:v>
      </x:c>
      <x:c r="I22" s="27">
        <x:f>VLOOKUP(C22,'[1]보험자료'!$B$5:$G$27,6,0)/1000</x:f>
        <x:v>42907.891000000003</x:v>
      </x:c>
      <x:c r="J22" s="33">
        <x:f>I22/H22*100-100</x:f>
        <x:v>-2.2024984147866178</x:v>
      </x:c>
      <x:c r="K22" s="34">
        <x:f>J22/MAX($J$6:$J$28)*50</x:f>
        <x:v>-1.6219661875465954</x:v>
      </x:c>
      <x:c r="L22" s="32">
        <x:f>G22+K22</x:f>
        <x:v>27.471997253799476</x:v>
      </x:c>
      <x:c r="M22" s="14"/>
    </x:row>
    <x:row r="23" spans="2:12" ht="19.5" customHeight="1">
      <x:c r="B23" s="24">
        <x:v>18</x:v>
      </x:c>
      <x:c r="C23" s="25" t="s">
        <x:v>68</x:v>
      </x:c>
      <x:c r="D23" s="26">
        <x:v>96333.333333333328</x:v>
      </x:c>
      <x:c r="E23" s="27">
        <x:f>VLOOKUP(C23,'[1]보험자료'!$B$5:$G$27,5,0)/1000</x:f>
        <x:v>99973.610000000001</x:v>
      </x:c>
      <x:c r="F23" s="28">
        <x:f>E23/D23*100</x:f>
        <x:v>103.77883391003462</x:v>
      </x:c>
      <x:c r="G23" s="29">
        <x:f>F23/MAX($F$6:$F$28)*50</x:f>
        <x:v>33.011294396924193</x:v>
      </x:c>
      <x:c r="H23" s="30">
        <x:f>VLOOKUP(C23,'[1]보험자료'!$B$5:$G$27,3,0)/1000</x:f>
        <x:v>82220.490000000005</x:v>
      </x:c>
      <x:c r="I23" s="27">
        <x:f>VLOOKUP(C23,'[1]보험자료'!$B$5:$G$27,6,0)/1000</x:f>
        <x:v>75632.826000000001</x:v>
      </x:c>
      <x:c r="J23" s="33">
        <x:f>I23/H23*100-100</x:f>
        <x:v>-8.0121925811923518</x:v>
      </x:c>
      <x:c r="K23" s="34">
        <x:f>J23/MAX($J$6:$J$28)*50</x:f>
        <x:v>-5.9003472454552037</x:v>
      </x:c>
      <x:c r="L23" s="32">
        <x:f>G23+K23</x:f>
        <x:v>27.110947151468988</x:v>
      </x:c>
    </x:row>
    <x:row r="24" spans="1:13" s="13" customFormat="1" ht="19.5" customHeight="1">
      <x:c r="A24" s="14"/>
      <x:c r="B24" s="24">
        <x:v>19</x:v>
      </x:c>
      <x:c r="C24" s="25" t="s">
        <x:v>18</x:v>
      </x:c>
      <x:c r="D24" s="26">
        <x:v>20833.333333333332</x:v>
      </x:c>
      <x:c r="E24" s="27">
        <x:f>VLOOKUP(C24,'[1]보험자료'!$B$5:$G$27,5,0)/1000</x:f>
        <x:v>21332.960999999999</x:v>
      </x:c>
      <x:c r="F24" s="28">
        <x:f>E24/D24*100</x:f>
        <x:v>102.39821280000001</x:v>
      </x:c>
      <x:c r="G24" s="29">
        <x:f>F24/MAX($F$6:$F$28)*50</x:f>
        <x:v>32.572128834961234</x:v>
      </x:c>
      <x:c r="H24" s="30">
        <x:f>VLOOKUP(C24,'[1]보험자료'!$B$5:$G$27,3,0)/1000</x:f>
        <x:v>15586.822</x:v>
      </x:c>
      <x:c r="I24" s="27">
        <x:f>VLOOKUP(C24,'[1]보험자료'!$B$5:$G$27,6,0)/1000</x:f>
        <x:v>14409.561</x:v>
      </x:c>
      <x:c r="J24" s="33">
        <x:f>I24/H24*100-100</x:f>
        <x:v>-7.5529251569049904</x:v>
      </x:c>
      <x:c r="K24" s="34">
        <x:f>J24/MAX($J$6:$J$28)*50</x:f>
        <x:v>-5.5621330482350499</x:v>
      </x:c>
      <x:c r="L24" s="32">
        <x:f>G24+K24</x:f>
        <x:v>27.009995786726183</x:v>
      </x:c>
      <x:c r="M24" s="14"/>
    </x:row>
    <x:row r="25" spans="2:12" ht="19.5" customHeight="1">
      <x:c r="B25" s="24">
        <x:v>20</x:v>
      </x:c>
      <x:c r="C25" s="25" t="s">
        <x:v>15</x:v>
      </x:c>
      <x:c r="D25" s="26">
        <x:v>99416.666666666672</x:v>
      </x:c>
      <x:c r="E25" s="27">
        <x:f>VLOOKUP(C25,'[1]보험자료'!$B$5:$G$27,5,0)/1000</x:f>
        <x:v>91536.311000000002</x:v>
      </x:c>
      <x:c r="F25" s="28">
        <x:f>E25/D25*100</x:f>
        <x:v>92.073405867560766</x:v>
      </x:c>
      <x:c r="G25" s="29">
        <x:f>F25/MAX($F$6:$F$28)*50</x:f>
        <x:v>29.287882631793984</x:v>
      </x:c>
      <x:c r="H25" s="30">
        <x:f>VLOOKUP(C25,'[1]보험자료'!$B$5:$G$27,3,0)/1000</x:f>
        <x:v>72451.304999999993</x:v>
      </x:c>
      <x:c r="I25" s="27">
        <x:f>VLOOKUP(C25,'[1]보험자료'!$B$5:$G$27,6,0)/1000</x:f>
        <x:v>65741.255000000005</x:v>
      </x:c>
      <x:c r="J25" s="33">
        <x:f>I25/H25*100-100</x:f>
        <x:v>-9.2614618880915884</x:v>
      </x:c>
      <x:c r="K25" s="34">
        <x:f>J25/MAX($J$6:$J$28)*50</x:f>
        <x:v>-6.820335455810687</x:v>
      </x:c>
      <x:c r="L25" s="32">
        <x:f>G25+K25</x:f>
        <x:v>22.467547175983299</x:v>
      </x:c>
    </x:row>
    <x:row r="26" spans="2:12" ht="19.5" customHeight="1">
      <x:c r="B26" s="24">
        <x:v>21</x:v>
      </x:c>
      <x:c r="C26" s="25" t="s">
        <x:v>27</x:v>
      </x:c>
      <x:c r="D26" s="26">
        <x:v>75416.666666666672</x:v>
      </x:c>
      <x:c r="E26" s="27">
        <x:f>VLOOKUP(C26,'[1]보험자료'!$B$5:$G$27,5,0)/1000</x:f>
        <x:v>77252.756999999998</x:v>
      </x:c>
      <x:c r="F26" s="28">
        <x:f>E26/D26*100</x:f>
        <x:v>102.43459491712706</x:v>
      </x:c>
      <x:c r="G26" s="29">
        <x:f>F26/MAX($F$6:$F$28)*50</x:f>
        <x:v>32.58370172255318</x:v>
      </x:c>
      <x:c r="H26" s="30">
        <x:f>VLOOKUP(C26,'[1]보험자료'!$B$5:$G$27,3,0)/1000</x:f>
        <x:v>74068.641000000003</x:v>
      </x:c>
      <x:c r="I26" s="27">
        <x:f>VLOOKUP(C26,'[1]보험자료'!$B$5:$G$27,6,0)/1000</x:f>
        <x:v>63671.267</x:v>
      </x:c>
      <x:c r="J26" s="33">
        <x:f>I26/H26*100-100</x:f>
        <x:v>-14.037484500356911</x:v>
      </x:c>
      <x:c r="K26" s="34">
        <x:f>J26/MAX($J$6:$J$28)*50</x:f>
        <x:v>-10.337499026074967</x:v>
      </x:c>
      <x:c r="L26" s="32">
        <x:f>G26+K26</x:f>
        <x:v>22.246202696478214</x:v>
      </x:c>
    </x:row>
    <x:row r="27" spans="2:12" ht="19.25">
      <x:c r="B27" s="24">
        <x:v>22</x:v>
      </x:c>
      <x:c r="C27" s="25" t="s">
        <x:v>5</x:v>
      </x:c>
      <x:c r="D27" s="26">
        <x:v>85500</x:v>
      </x:c>
      <x:c r="E27" s="27">
        <x:f>VLOOKUP(C27,'[1]보험자료'!$B$5:$G$27,5,0)/1000</x:f>
        <x:v>77131.778000000006</x:v>
      </x:c>
      <x:c r="F27" s="28">
        <x:f>E27/D27*100</x:f>
        <x:v>90.212605847953213</x:v>
      </x:c>
      <x:c r="G27" s="29">
        <x:f>F27/MAX($F$6:$F$28)*50</x:f>
        <x:v>28.695975641257565</x:v>
      </x:c>
      <x:c r="H27" s="30">
        <x:f>VLOOKUP(C27,'[1]보험자료'!$B$5:$G$27,3,0)/1000</x:f>
        <x:v>69369.183000000005</x:v>
      </x:c>
      <x:c r="I27" s="27">
        <x:f>VLOOKUP(C27,'[1]보험자료'!$B$5:$G$27,6,0)/1000</x:f>
        <x:v>59972.870000000003</x:v>
      </x:c>
      <x:c r="J27" s="33">
        <x:f>I27/H27*100-100</x:f>
        <x:v>-13.545370715984944</x:v>
      </x:c>
      <x:c r="K27" s="34">
        <x:f>J27/MAX($J$6:$J$28)*50</x:f>
        <x:v>-9.9750960779873719</x:v>
      </x:c>
      <x:c r="L27" s="32">
        <x:f>G27+K27</x:f>
        <x:v>18.720879563270195</x:v>
      </x:c>
    </x:row>
    <x:row r="28" spans="2:12" ht="19.5" customHeight="1">
      <x:c r="B28" s="24">
        <x:v>23</x:v>
      </x:c>
      <x:c r="C28" s="25" t="s">
        <x:v>21</x:v>
      </x:c>
      <x:c r="D28" s="26">
        <x:v>81416.666666666672</x:v>
      </x:c>
      <x:c r="E28" s="27">
        <x:f>VLOOKUP(C28,'[1]보험자료'!$B$5:$G$27,5,0)/1000</x:f>
        <x:v>68899.562999999995</x:v>
      </x:c>
      <x:c r="F28" s="28">
        <x:f>E28/D28*100</x:f>
        <x:v>84.625870624360275</x:v>
      </x:c>
      <x:c r="G28" s="29">
        <x:f>F28/MAX($F$6:$F$28)*50</x:f>
        <x:v>26.918875685176253</x:v>
      </x:c>
      <x:c r="H28" s="30">
        <x:f>VLOOKUP(C28,'[1]보험자료'!$B$5:$G$27,3,0)/1000</x:f>
        <x:v>66008.778999999995</x:v>
      </x:c>
      <x:c r="I28" s="27">
        <x:f>VLOOKUP(C28,'[1]보험자료'!$B$5:$G$27,6,0)/1000</x:f>
        <x:v>56075.237000000001</x:v>
      </x:c>
      <x:c r="J28" s="33">
        <x:f>I28/H28*100-100</x:f>
        <x:v>-15.048819491116475</x:v>
      </x:c>
      <x:c r="K28" s="34">
        <x:f>J28/MAX($J$6:$J$28)*50</x:f>
        <x:v>-11.08226739833901</x:v>
      </x:c>
      <x:c r="L28" s="32">
        <x:f>G28+K28</x:f>
        <x:v>15.836608286837244</x:v>
      </x:c>
    </x:row>
    <x:row r="29" spans="2:12" ht="22.5" customHeight="1">
      <x:c r="B29" s="90" t="s">
        <x:v>60</x:v>
      </x:c>
      <x:c r="C29" s="90"/>
      <x:c r="D29" s="35">
        <x:f>SUM(D6:D28)</x:f>
        <x:v>1791666.6666666667</x:v>
      </x:c>
      <x:c r="E29" s="36">
        <x:f>SUM(E6:E28)</x:f>
        <x:v>1886326.4670000002</x:v>
      </x:c>
      <x:c r="F29" s="37">
        <x:f>E29/D29*100</x:f>
        <x:v>105.28333769302327</x:v>
      </x:c>
      <x:c r="G29" s="38" t="s">
        <x:v>62</x:v>
      </x:c>
      <x:c r="H29" s="36">
        <x:f>SUM(H6:H28)</x:f>
        <x:v>1341395.4350000001</x:v>
      </x:c>
      <x:c r="I29" s="36">
        <x:f>SUM(I6:I28)</x:f>
        <x:v>1478774.4110000001</x:v>
      </x:c>
      <x:c r="J29" s="37">
        <x:f>I29/H29*100-100</x:f>
        <x:v>10.241497206228374</x:v>
      </x:c>
      <x:c r="K29" s="38" t="s">
        <x:v>62</x:v>
      </x:c>
      <x:c r="L29" s="38" t="s">
        <x:v>62</x:v>
      </x:c>
    </x:row>
    <x:row r="30" spans="7:7">
      <x:c r="G30" s="10"/>
    </x:row>
  </x:sheetData>
  <x:mergeCells count="7">
    <x:mergeCell ref="B29:C29"/>
    <x:mergeCell ref="B1:L1"/>
    <x:mergeCell ref="B4:B5"/>
    <x:mergeCell ref="C4:C5"/>
    <x:mergeCell ref="D4:G4"/>
    <x:mergeCell ref="H4:K4"/>
    <x:mergeCell ref="L4:L5"/>
  </x:mergeCells>
  <x:conditionalFormatting sqref="C6:C28">
    <x:cfRule type="cellIs" dxfId="0" priority="1" operator="lessThanOrEqual">
      <x:formula>0.15</x:formula>
    </x:cfRule>
  </x:conditionalFormatting>
  <x:printOptions horizontalCentered="1" verticalCentered="0" headings="0" gridLines="0" gridLinesSet="1"/>
  <x:pageMargins left="0.19666667282581329" right="0.11777777969837189" top="0.59041666984558105" bottom="0.39347222447395325" header="0.19666667282581329" footer="0.19666667282581329"/>
  <x:pageSetup paperSize="9" scale="86" firstPageNumber="1" fitToWidth="1" fitToHeight="1" orientation="landscape" usePrinterDefaults="1" blackAndWhite="0" draft="0" useFirstPageNumber="0" horizontalDpi="600" verticalDpi="600" copies="1"/>
  <x:rowBreaks count="1" manualBreakCount="1">
    <x:brk id="2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5" baseType="lpstr">
      <vt:lpstr>통상</vt:lpstr>
      <vt:lpstr>소포</vt:lpstr>
      <vt:lpstr>EMS</vt:lpstr>
      <vt:lpstr>예금</vt:lpstr>
      <vt:lpstr>보험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석관숙</dc:creator>
  <cp:lastModifiedBy>User_3</cp:lastModifiedBy>
  <cp:revision>29</cp:revision>
  <cp:lastPrinted>2017-08-03T07:51:29.286</cp:lastPrinted>
  <dcterms:created xsi:type="dcterms:W3CDTF">2017-07-28T01:07:13.000</dcterms:created>
  <dcterms:modified xsi:type="dcterms:W3CDTF">2017-08-07T07:11:32.086</dcterms:modified>
</cp:coreProperties>
</file>