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255" windowHeight="11595" tabRatio="870"/>
  </bookViews>
  <sheets>
    <sheet name="목표(창구+집배)" sheetId="13" r:id="rId1"/>
    <sheet name="비교(최종)" sheetId="25" r:id="rId2"/>
    <sheet name="목표(창구)" sheetId="18" r:id="rId3"/>
    <sheet name="비교(창구)" sheetId="21" r:id="rId4"/>
    <sheet name="목표(집배)" sheetId="26" r:id="rId5"/>
    <sheet name="※그룹" sheetId="19" r:id="rId6"/>
    <sheet name="연도별" sheetId="9" r:id="rId7"/>
    <sheet name="2015" sheetId="8" r:id="rId8"/>
    <sheet name="2014" sheetId="7" r:id="rId9"/>
    <sheet name="2013" sheetId="5" r:id="rId10"/>
    <sheet name="2012" sheetId="6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10" hidden="1">'2012'!$A$1:$L$268</definedName>
    <definedName name="_xlnm._FilterDatabase" localSheetId="9" hidden="1">'2013'!$A$1:$L$267</definedName>
    <definedName name="_xlnm._FilterDatabase" localSheetId="8" hidden="1">'2014'!$A$1:$M$153</definedName>
    <definedName name="_xlnm._FilterDatabase" localSheetId="7" hidden="1">'2015'!$A$5:$T$238</definedName>
    <definedName name="_xlnm._FilterDatabase" localSheetId="4" hidden="1">'목표(집배)'!$A$4:$M$42</definedName>
    <definedName name="_xlnm._FilterDatabase" localSheetId="2" hidden="1">'목표(창구)'!$A$3:$AA$44</definedName>
    <definedName name="_xlnm._FilterDatabase" localSheetId="0" hidden="1">'목표(창구+집배)'!$A$4:$J$37</definedName>
    <definedName name="_xlnm._FilterDatabase" localSheetId="1" hidden="1">'비교(최종)'!$A$3:$K$37</definedName>
    <definedName name="_xlnm._FilterDatabase" localSheetId="6" hidden="1">연도별!$A$3:$AH$36</definedName>
    <definedName name="_xlnm.Print_Area" localSheetId="5">#REF!</definedName>
    <definedName name="_xlnm.Print_Area" localSheetId="10">'2012'!$A$1:$L$268</definedName>
    <definedName name="_xlnm.Print_Area" localSheetId="9">'2013'!$A$1:$L$267</definedName>
    <definedName name="_xlnm.Print_Area" localSheetId="8">'2014'!$A$1:$M$153</definedName>
    <definedName name="_xlnm.Print_Area" localSheetId="7">'2015'!$B$1:$N$238</definedName>
    <definedName name="_xlnm.Print_Area" localSheetId="4">'목표(집배)'!$A$1:$L$42</definedName>
    <definedName name="_xlnm.Print_Area" localSheetId="2">'목표(창구)'!$A$1:$AB$44</definedName>
    <definedName name="_xlnm.Print_Area" localSheetId="0">'목표(창구+집배)'!$A$1:$K$37</definedName>
    <definedName name="_xlnm.Print_Area" localSheetId="3">'비교(창구)'!$A$1:$I$46</definedName>
    <definedName name="_xlnm.Print_Area" localSheetId="1">'비교(최종)'!$A$1:$K$42</definedName>
    <definedName name="_xlnm.Print_Area">#REF!</definedName>
    <definedName name="_xlnm.Print_Titles" localSheetId="6">연도별!$A:$B</definedName>
  </definedNames>
  <calcPr calcId="125725"/>
</workbook>
</file>

<file path=xl/calcChain.xml><?xml version="1.0" encoding="utf-8"?>
<calcChain xmlns="http://schemas.openxmlformats.org/spreadsheetml/2006/main">
  <c r="H37" i="26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Y32" i="18"/>
  <c r="N20"/>
  <c r="N7" i="26"/>
  <c r="D42"/>
  <c r="T7" i="18"/>
  <c r="E5" i="19"/>
  <c r="G9" i="21"/>
  <c r="G40"/>
  <c r="G39"/>
  <c r="G38"/>
  <c r="G37"/>
  <c r="G36"/>
  <c r="G35"/>
  <c r="G34"/>
  <c r="G33"/>
  <c r="G32"/>
  <c r="G31"/>
  <c r="G30"/>
  <c r="G29"/>
  <c r="G28"/>
  <c r="G27"/>
  <c r="G26"/>
  <c r="G25"/>
  <c r="G24"/>
  <c r="G21"/>
  <c r="G18"/>
  <c r="G17"/>
  <c r="G16"/>
  <c r="G13"/>
  <c r="G12"/>
  <c r="G11"/>
  <c r="G10"/>
  <c r="AB11" i="18"/>
  <c r="L9"/>
  <c r="K9"/>
  <c r="J9"/>
  <c r="I9"/>
  <c r="G9"/>
  <c r="F9"/>
  <c r="E9"/>
  <c r="D9"/>
  <c r="C9"/>
  <c r="B9"/>
  <c r="L8"/>
  <c r="K8"/>
  <c r="J8"/>
  <c r="I8"/>
  <c r="G8"/>
  <c r="F8"/>
  <c r="E8"/>
  <c r="D8"/>
  <c r="C8"/>
  <c r="B8"/>
  <c r="L7"/>
  <c r="K7"/>
  <c r="J7"/>
  <c r="I7"/>
  <c r="G7"/>
  <c r="F7"/>
  <c r="E7"/>
  <c r="D7"/>
  <c r="C7"/>
  <c r="B7"/>
  <c r="F36" i="26" l="1"/>
  <c r="E36"/>
  <c r="D36"/>
  <c r="F27"/>
  <c r="E27"/>
  <c r="D27"/>
  <c r="F33"/>
  <c r="E33"/>
  <c r="D33"/>
  <c r="F32"/>
  <c r="E32"/>
  <c r="D32"/>
  <c r="F31"/>
  <c r="E31"/>
  <c r="D31"/>
  <c r="F35"/>
  <c r="E35"/>
  <c r="D35"/>
  <c r="F34"/>
  <c r="E34"/>
  <c r="D34"/>
  <c r="F29"/>
  <c r="E29"/>
  <c r="D29"/>
  <c r="F28"/>
  <c r="E28"/>
  <c r="D28"/>
  <c r="F30"/>
  <c r="E30"/>
  <c r="D30"/>
  <c r="F26"/>
  <c r="E26"/>
  <c r="D26"/>
  <c r="F23"/>
  <c r="E23"/>
  <c r="D23"/>
  <c r="F24"/>
  <c r="E24"/>
  <c r="D24"/>
  <c r="F25"/>
  <c r="E25"/>
  <c r="D25"/>
  <c r="F22"/>
  <c r="E22"/>
  <c r="D22"/>
  <c r="F20"/>
  <c r="E20"/>
  <c r="D20"/>
  <c r="F18"/>
  <c r="E18"/>
  <c r="D18"/>
  <c r="F19"/>
  <c r="E19"/>
  <c r="D19"/>
  <c r="F16"/>
  <c r="E16"/>
  <c r="D16"/>
  <c r="F17"/>
  <c r="E17"/>
  <c r="D17"/>
  <c r="F21"/>
  <c r="E21"/>
  <c r="D21"/>
  <c r="F15"/>
  <c r="E15"/>
  <c r="D15"/>
  <c r="F12"/>
  <c r="E12"/>
  <c r="D12"/>
  <c r="F13"/>
  <c r="E13"/>
  <c r="D13"/>
  <c r="F14"/>
  <c r="E14"/>
  <c r="D14"/>
  <c r="F10"/>
  <c r="E10"/>
  <c r="D10"/>
  <c r="F9"/>
  <c r="E9"/>
  <c r="D9"/>
  <c r="F11"/>
  <c r="E11"/>
  <c r="D11"/>
  <c r="F7"/>
  <c r="E7"/>
  <c r="D7"/>
  <c r="F8"/>
  <c r="E8"/>
  <c r="D8"/>
  <c r="F6"/>
  <c r="E6"/>
  <c r="D6"/>
  <c r="F5"/>
  <c r="E5"/>
  <c r="D5"/>
  <c r="S7" i="18"/>
  <c r="G23" i="26" l="1"/>
  <c r="F37"/>
  <c r="E37"/>
  <c r="D37"/>
  <c r="G5"/>
  <c r="G6"/>
  <c r="G8"/>
  <c r="G7"/>
  <c r="G11"/>
  <c r="G9"/>
  <c r="G10"/>
  <c r="G14"/>
  <c r="G13"/>
  <c r="G12"/>
  <c r="G15"/>
  <c r="G21"/>
  <c r="G17"/>
  <c r="G16"/>
  <c r="G19"/>
  <c r="G18"/>
  <c r="G20"/>
  <c r="G22"/>
  <c r="G25"/>
  <c r="G24"/>
  <c r="G26"/>
  <c r="G30"/>
  <c r="G28"/>
  <c r="G29"/>
  <c r="G34"/>
  <c r="G35"/>
  <c r="G31"/>
  <c r="G32"/>
  <c r="G33"/>
  <c r="G27"/>
  <c r="G36"/>
  <c r="O11" i="18"/>
  <c r="D5" i="19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B42" i="26" l="1"/>
  <c r="B41"/>
  <c r="I16"/>
  <c r="I19" i="13" s="1"/>
  <c r="I15" i="26"/>
  <c r="I7" i="13" s="1"/>
  <c r="I33" i="26"/>
  <c r="I29" i="13" s="1"/>
  <c r="I29" i="26"/>
  <c r="I27" i="13" s="1"/>
  <c r="I25" i="26"/>
  <c r="I25" i="13" s="1"/>
  <c r="I34" i="26"/>
  <c r="I30"/>
  <c r="I26"/>
  <c r="I31" i="13" s="1"/>
  <c r="I35" i="26"/>
  <c r="I32" i="13" s="1"/>
  <c r="I31" i="26"/>
  <c r="I28" i="13" s="1"/>
  <c r="I27" i="26"/>
  <c r="I33" i="13" s="1"/>
  <c r="I36" i="26"/>
  <c r="I36" i="13" s="1"/>
  <c r="I32" i="26"/>
  <c r="I34" i="13" s="1"/>
  <c r="I28" i="26"/>
  <c r="I22"/>
  <c r="I22" i="13" s="1"/>
  <c r="I20" i="26"/>
  <c r="I20" i="13" s="1"/>
  <c r="I17" i="26"/>
  <c r="I23"/>
  <c r="I23" i="13" s="1"/>
  <c r="I18" i="26"/>
  <c r="I16" i="13" s="1"/>
  <c r="I24" i="26"/>
  <c r="I24" i="13" s="1"/>
  <c r="I19" i="26"/>
  <c r="I17" i="13" s="1"/>
  <c r="I21" i="26"/>
  <c r="I10"/>
  <c r="I9"/>
  <c r="I6"/>
  <c r="I7"/>
  <c r="I15" i="13" s="1"/>
  <c r="I13" i="26"/>
  <c r="I12"/>
  <c r="I11"/>
  <c r="K15"/>
  <c r="I8"/>
  <c r="I5"/>
  <c r="I14"/>
  <c r="K35"/>
  <c r="K31"/>
  <c r="K36"/>
  <c r="G37"/>
  <c r="K24" l="1"/>
  <c r="K20"/>
  <c r="K30"/>
  <c r="I35" i="13"/>
  <c r="L12" i="26"/>
  <c r="I13" i="13"/>
  <c r="L9" i="26"/>
  <c r="I11" i="13"/>
  <c r="K17" i="26"/>
  <c r="I18" i="13"/>
  <c r="L8" i="26"/>
  <c r="I12" i="13"/>
  <c r="L13" i="26"/>
  <c r="I9" i="13"/>
  <c r="L10" i="26"/>
  <c r="I14" i="13"/>
  <c r="D41" i="26"/>
  <c r="I10" i="13"/>
  <c r="K14" i="26"/>
  <c r="I8" i="13"/>
  <c r="K11" i="26"/>
  <c r="I6" i="13"/>
  <c r="K6" i="26"/>
  <c r="I5" i="13"/>
  <c r="I21"/>
  <c r="K28" i="26"/>
  <c r="I26" i="13"/>
  <c r="K34" i="26"/>
  <c r="I30" i="13"/>
  <c r="K32" i="26"/>
  <c r="K16"/>
  <c r="J18"/>
  <c r="L18"/>
  <c r="J36"/>
  <c r="L36"/>
  <c r="J26"/>
  <c r="L26"/>
  <c r="L5"/>
  <c r="J5"/>
  <c r="J24"/>
  <c r="L24"/>
  <c r="J20"/>
  <c r="L20"/>
  <c r="J32"/>
  <c r="L32"/>
  <c r="J35"/>
  <c r="L35"/>
  <c r="J25"/>
  <c r="L25"/>
  <c r="J14"/>
  <c r="L14"/>
  <c r="J11"/>
  <c r="L11"/>
  <c r="J6"/>
  <c r="L6"/>
  <c r="J19"/>
  <c r="L19"/>
  <c r="J17"/>
  <c r="L17"/>
  <c r="J28"/>
  <c r="L28"/>
  <c r="J31"/>
  <c r="L31"/>
  <c r="J34"/>
  <c r="L34"/>
  <c r="K25"/>
  <c r="K18"/>
  <c r="J7"/>
  <c r="L7"/>
  <c r="J23"/>
  <c r="L23"/>
  <c r="J22"/>
  <c r="L22"/>
  <c r="J27"/>
  <c r="L27"/>
  <c r="J30"/>
  <c r="L30"/>
  <c r="J33"/>
  <c r="L33"/>
  <c r="J15"/>
  <c r="L15"/>
  <c r="J29"/>
  <c r="L29"/>
  <c r="J21"/>
  <c r="L21"/>
  <c r="J16"/>
  <c r="L16"/>
  <c r="K33"/>
  <c r="K8"/>
  <c r="J8"/>
  <c r="K7"/>
  <c r="K29"/>
  <c r="K26"/>
  <c r="K27"/>
  <c r="K10"/>
  <c r="J10"/>
  <c r="K13"/>
  <c r="J13"/>
  <c r="K5"/>
  <c r="K12"/>
  <c r="J12"/>
  <c r="K9"/>
  <c r="J9"/>
  <c r="K23"/>
  <c r="K21"/>
  <c r="K19"/>
  <c r="K22"/>
  <c r="I37"/>
  <c r="K37" l="1"/>
  <c r="L37"/>
  <c r="J37"/>
  <c r="F16" i="21"/>
  <c r="I16" s="1"/>
  <c r="F29"/>
  <c r="I29" s="1"/>
  <c r="F34"/>
  <c r="I34" s="1"/>
  <c r="F10"/>
  <c r="I10" s="1"/>
  <c r="F20"/>
  <c r="F33"/>
  <c r="I33" s="1"/>
  <c r="F9"/>
  <c r="I9" s="1"/>
  <c r="F32"/>
  <c r="I32" s="1"/>
  <c r="F15"/>
  <c r="F18"/>
  <c r="I18" s="1"/>
  <c r="F26"/>
  <c r="I26" s="1"/>
  <c r="F36"/>
  <c r="I36" s="1"/>
  <c r="F19"/>
  <c r="F23"/>
  <c r="F27"/>
  <c r="I27" s="1"/>
  <c r="F37"/>
  <c r="I37" s="1"/>
  <c r="F22"/>
  <c r="F28"/>
  <c r="I28" s="1"/>
  <c r="F38"/>
  <c r="I38" s="1"/>
  <c r="F13"/>
  <c r="I13" s="1"/>
  <c r="F21"/>
  <c r="I21" s="1"/>
  <c r="F30"/>
  <c r="I30" s="1"/>
  <c r="F39"/>
  <c r="I39" s="1"/>
  <c r="F14"/>
  <c r="F11"/>
  <c r="I11" s="1"/>
  <c r="F17"/>
  <c r="I17" s="1"/>
  <c r="F24"/>
  <c r="I24" s="1"/>
  <c r="F25"/>
  <c r="I25" s="1"/>
  <c r="F31"/>
  <c r="I31" s="1"/>
  <c r="F35"/>
  <c r="I35" s="1"/>
  <c r="F40"/>
  <c r="I40" s="1"/>
  <c r="F12" l="1"/>
  <c r="I12" s="1"/>
  <c r="F41" l="1"/>
  <c r="Q44" i="18" l="1"/>
  <c r="Q43"/>
  <c r="U38"/>
  <c r="P38"/>
  <c r="O38"/>
  <c r="N38"/>
  <c r="M38"/>
  <c r="K38"/>
  <c r="H38"/>
  <c r="U31"/>
  <c r="P31"/>
  <c r="O31"/>
  <c r="N31"/>
  <c r="M31"/>
  <c r="K31"/>
  <c r="H31"/>
  <c r="U33"/>
  <c r="P33"/>
  <c r="O33"/>
  <c r="N33"/>
  <c r="M33"/>
  <c r="K33"/>
  <c r="H33"/>
  <c r="U34"/>
  <c r="P34"/>
  <c r="O34"/>
  <c r="N34"/>
  <c r="M34"/>
  <c r="K34"/>
  <c r="H34"/>
  <c r="L34" s="1"/>
  <c r="U30"/>
  <c r="P30"/>
  <c r="O30"/>
  <c r="N30"/>
  <c r="M30"/>
  <c r="K30"/>
  <c r="H30"/>
  <c r="U41"/>
  <c r="P41"/>
  <c r="O41"/>
  <c r="N41"/>
  <c r="M41"/>
  <c r="K41"/>
  <c r="H41"/>
  <c r="U29"/>
  <c r="P29"/>
  <c r="O29"/>
  <c r="N29"/>
  <c r="M29"/>
  <c r="K29"/>
  <c r="H29"/>
  <c r="U32"/>
  <c r="P32"/>
  <c r="O32"/>
  <c r="N32"/>
  <c r="M32"/>
  <c r="K32"/>
  <c r="H32"/>
  <c r="L32" s="1"/>
  <c r="U40"/>
  <c r="P40"/>
  <c r="O40"/>
  <c r="N40"/>
  <c r="M40"/>
  <c r="K40"/>
  <c r="H40"/>
  <c r="U42"/>
  <c r="P42"/>
  <c r="O42"/>
  <c r="N42"/>
  <c r="M42"/>
  <c r="K42"/>
  <c r="H42"/>
  <c r="U37"/>
  <c r="P37"/>
  <c r="O37"/>
  <c r="N37"/>
  <c r="M37"/>
  <c r="K37"/>
  <c r="H37"/>
  <c r="U36"/>
  <c r="P36"/>
  <c r="O36"/>
  <c r="N36"/>
  <c r="M36"/>
  <c r="K36"/>
  <c r="H36"/>
  <c r="L36" s="1"/>
  <c r="U35"/>
  <c r="P35"/>
  <c r="O35"/>
  <c r="N35"/>
  <c r="M35"/>
  <c r="K35"/>
  <c r="H35"/>
  <c r="U39"/>
  <c r="P39"/>
  <c r="O39"/>
  <c r="N39"/>
  <c r="M39"/>
  <c r="Q39" s="1"/>
  <c r="K39"/>
  <c r="L39" s="1"/>
  <c r="H39"/>
  <c r="U25"/>
  <c r="P25"/>
  <c r="O25"/>
  <c r="N25"/>
  <c r="M25"/>
  <c r="K25"/>
  <c r="H25"/>
  <c r="U28"/>
  <c r="P28"/>
  <c r="O28"/>
  <c r="N28"/>
  <c r="M28"/>
  <c r="K28"/>
  <c r="H28"/>
  <c r="L28" s="1"/>
  <c r="U22"/>
  <c r="P22"/>
  <c r="O22"/>
  <c r="N22"/>
  <c r="M22"/>
  <c r="K22"/>
  <c r="H22"/>
  <c r="U20"/>
  <c r="P20"/>
  <c r="O20"/>
  <c r="M20"/>
  <c r="K20"/>
  <c r="H20"/>
  <c r="U17"/>
  <c r="P17"/>
  <c r="O17"/>
  <c r="N17"/>
  <c r="M17"/>
  <c r="K17"/>
  <c r="H17"/>
  <c r="U24"/>
  <c r="P24"/>
  <c r="O24"/>
  <c r="N24"/>
  <c r="M24"/>
  <c r="K24"/>
  <c r="H24"/>
  <c r="L24" s="1"/>
  <c r="U27"/>
  <c r="P27"/>
  <c r="O27"/>
  <c r="N27"/>
  <c r="M27"/>
  <c r="K27"/>
  <c r="H27"/>
  <c r="U26"/>
  <c r="P26"/>
  <c r="O26"/>
  <c r="N26"/>
  <c r="M26"/>
  <c r="K26"/>
  <c r="H26"/>
  <c r="U23"/>
  <c r="P23"/>
  <c r="O23"/>
  <c r="N23"/>
  <c r="M23"/>
  <c r="K23"/>
  <c r="H23"/>
  <c r="U16"/>
  <c r="P16"/>
  <c r="O16"/>
  <c r="N16"/>
  <c r="M16"/>
  <c r="K16"/>
  <c r="H16"/>
  <c r="L16" s="1"/>
  <c r="U18"/>
  <c r="P18"/>
  <c r="O18"/>
  <c r="N18"/>
  <c r="M18"/>
  <c r="K18"/>
  <c r="H18"/>
  <c r="U21"/>
  <c r="P21"/>
  <c r="O21"/>
  <c r="N21"/>
  <c r="M21"/>
  <c r="K21"/>
  <c r="H21"/>
  <c r="U19"/>
  <c r="P19"/>
  <c r="O19"/>
  <c r="N19"/>
  <c r="M19"/>
  <c r="K19"/>
  <c r="H19"/>
  <c r="U11"/>
  <c r="P11"/>
  <c r="N11"/>
  <c r="M11"/>
  <c r="K11"/>
  <c r="H11"/>
  <c r="L11" s="1"/>
  <c r="U13"/>
  <c r="P13"/>
  <c r="O13"/>
  <c r="N13"/>
  <c r="M13"/>
  <c r="K13"/>
  <c r="H13"/>
  <c r="U14"/>
  <c r="P14"/>
  <c r="O14"/>
  <c r="N14"/>
  <c r="M14"/>
  <c r="K14"/>
  <c r="H14"/>
  <c r="U12"/>
  <c r="P12"/>
  <c r="O12"/>
  <c r="N12"/>
  <c r="M12"/>
  <c r="K12"/>
  <c r="H12"/>
  <c r="U15"/>
  <c r="P15"/>
  <c r="O15"/>
  <c r="N15"/>
  <c r="M15"/>
  <c r="K15"/>
  <c r="H15"/>
  <c r="L15" s="1"/>
  <c r="J10"/>
  <c r="J44" s="1"/>
  <c r="I10"/>
  <c r="G10"/>
  <c r="G44" s="1"/>
  <c r="F10"/>
  <c r="F44" s="1"/>
  <c r="E10"/>
  <c r="E44" s="1"/>
  <c r="D10"/>
  <c r="D44" s="1"/>
  <c r="C10"/>
  <c r="C44" s="1"/>
  <c r="B10"/>
  <c r="R7"/>
  <c r="L14" l="1"/>
  <c r="M7"/>
  <c r="Q14"/>
  <c r="X14" s="1"/>
  <c r="P7"/>
  <c r="L29"/>
  <c r="V11"/>
  <c r="K10"/>
  <c r="Q12"/>
  <c r="L25"/>
  <c r="L23"/>
  <c r="L42"/>
  <c r="L41"/>
  <c r="L31"/>
  <c r="L21"/>
  <c r="L26"/>
  <c r="L20"/>
  <c r="Q25"/>
  <c r="W25" s="1"/>
  <c r="L19"/>
  <c r="O7"/>
  <c r="L37"/>
  <c r="Q23"/>
  <c r="Q26"/>
  <c r="V26" s="1"/>
  <c r="Q29"/>
  <c r="Q41"/>
  <c r="W41" s="1"/>
  <c r="L17"/>
  <c r="L33"/>
  <c r="U7"/>
  <c r="Q13"/>
  <c r="Q11"/>
  <c r="W11" s="1"/>
  <c r="L18"/>
  <c r="Q27"/>
  <c r="W27" s="1"/>
  <c r="Q24"/>
  <c r="W24" s="1"/>
  <c r="L22"/>
  <c r="Q35"/>
  <c r="X35" s="1"/>
  <c r="Q36"/>
  <c r="W36" s="1"/>
  <c r="L40"/>
  <c r="Q30"/>
  <c r="X30" s="1"/>
  <c r="Q34"/>
  <c r="W34" s="1"/>
  <c r="L38"/>
  <c r="I44"/>
  <c r="W26"/>
  <c r="L12"/>
  <c r="Q19"/>
  <c r="Q21"/>
  <c r="W21" s="1"/>
  <c r="Q17"/>
  <c r="X17" s="1"/>
  <c r="Q20"/>
  <c r="W20" s="1"/>
  <c r="Q37"/>
  <c r="Q42"/>
  <c r="W42" s="1"/>
  <c r="Q33"/>
  <c r="W33" s="1"/>
  <c r="Q31"/>
  <c r="W31" s="1"/>
  <c r="W14"/>
  <c r="W39"/>
  <c r="Q15"/>
  <c r="W15" s="1"/>
  <c r="N7"/>
  <c r="L13"/>
  <c r="Q18"/>
  <c r="Q16"/>
  <c r="W16" s="1"/>
  <c r="L27"/>
  <c r="Q22"/>
  <c r="V22" s="1"/>
  <c r="Q28"/>
  <c r="W28" s="1"/>
  <c r="L35"/>
  <c r="Q40"/>
  <c r="W40" s="1"/>
  <c r="Q32"/>
  <c r="W32" s="1"/>
  <c r="L30"/>
  <c r="Q38"/>
  <c r="X38" s="1"/>
  <c r="L44"/>
  <c r="H10"/>
  <c r="L10" s="1"/>
  <c r="V12"/>
  <c r="V13"/>
  <c r="V19"/>
  <c r="X21"/>
  <c r="V18"/>
  <c r="V23"/>
  <c r="V27"/>
  <c r="X24"/>
  <c r="X28"/>
  <c r="V25"/>
  <c r="X39"/>
  <c r="V37"/>
  <c r="X42"/>
  <c r="V29"/>
  <c r="X41"/>
  <c r="V30"/>
  <c r="X12"/>
  <c r="X13"/>
  <c r="X19"/>
  <c r="V21"/>
  <c r="X18"/>
  <c r="X23"/>
  <c r="X27"/>
  <c r="V24"/>
  <c r="X22"/>
  <c r="V28"/>
  <c r="V39"/>
  <c r="X37"/>
  <c r="V42"/>
  <c r="X29"/>
  <c r="V41"/>
  <c r="V31"/>
  <c r="W12"/>
  <c r="W13"/>
  <c r="W19"/>
  <c r="W18"/>
  <c r="W23"/>
  <c r="W22"/>
  <c r="W37"/>
  <c r="W29"/>
  <c r="V20" l="1"/>
  <c r="Q7"/>
  <c r="V36"/>
  <c r="V14"/>
  <c r="X36"/>
  <c r="V32"/>
  <c r="X32"/>
  <c r="X11"/>
  <c r="Y24"/>
  <c r="V17"/>
  <c r="V40"/>
  <c r="X40"/>
  <c r="X25"/>
  <c r="Y25" s="1"/>
  <c r="Y28"/>
  <c r="Y36"/>
  <c r="W17"/>
  <c r="X33"/>
  <c r="W30"/>
  <c r="Y30" s="1"/>
  <c r="Y11"/>
  <c r="V33"/>
  <c r="X26"/>
  <c r="Y26" s="1"/>
  <c r="W35"/>
  <c r="V34"/>
  <c r="V16"/>
  <c r="V15"/>
  <c r="V35"/>
  <c r="Y35" s="1"/>
  <c r="X34"/>
  <c r="X16"/>
  <c r="X15"/>
  <c r="W38"/>
  <c r="V38"/>
  <c r="X31"/>
  <c r="Y31" s="1"/>
  <c r="X20"/>
  <c r="Y41"/>
  <c r="Y42"/>
  <c r="Y39"/>
  <c r="Y21"/>
  <c r="Y14"/>
  <c r="Y29"/>
  <c r="Y37"/>
  <c r="Y23"/>
  <c r="Y19"/>
  <c r="Y12"/>
  <c r="Y22"/>
  <c r="Y27"/>
  <c r="Y18"/>
  <c r="Y13"/>
  <c r="Y20" l="1"/>
  <c r="O10"/>
  <c r="P10"/>
  <c r="V7"/>
  <c r="Q10"/>
  <c r="M10"/>
  <c r="N10"/>
  <c r="AB28"/>
  <c r="H21" i="13" s="1"/>
  <c r="J21" s="1"/>
  <c r="P21" i="19" s="1"/>
  <c r="AB24" i="18"/>
  <c r="H18" i="13" s="1"/>
  <c r="J18" s="1"/>
  <c r="P18" i="19" s="1"/>
  <c r="AB25" i="18"/>
  <c r="H22" i="13" s="1"/>
  <c r="J22" s="1"/>
  <c r="P22" i="19" s="1"/>
  <c r="AB26" i="18"/>
  <c r="H15" i="13" s="1"/>
  <c r="J15" s="1"/>
  <c r="P15" i="19" s="1"/>
  <c r="AB22" i="18"/>
  <c r="H19" i="13" s="1"/>
  <c r="J19" s="1"/>
  <c r="P19" i="19" s="1"/>
  <c r="AB27" i="18"/>
  <c r="H20" i="13" s="1"/>
  <c r="J20" s="1"/>
  <c r="P20" i="19" s="1"/>
  <c r="AB23" i="18"/>
  <c r="H17" i="13" s="1"/>
  <c r="J17" s="1"/>
  <c r="P17" i="19" s="1"/>
  <c r="Y17" i="18"/>
  <c r="Y15"/>
  <c r="Y40"/>
  <c r="Y33"/>
  <c r="Y34"/>
  <c r="Y38"/>
  <c r="Y16"/>
  <c r="X7" l="1"/>
  <c r="W7"/>
  <c r="AB13"/>
  <c r="H9" i="13" s="1"/>
  <c r="J9" s="1"/>
  <c r="P9" i="19" s="1"/>
  <c r="H6" i="13"/>
  <c r="J6" s="1"/>
  <c r="P6" i="19" s="1"/>
  <c r="AB39" i="18"/>
  <c r="AB42"/>
  <c r="H29" i="13" s="1"/>
  <c r="J29" s="1"/>
  <c r="P29" i="19" s="1"/>
  <c r="AB41" i="18"/>
  <c r="H33" i="13" s="1"/>
  <c r="J33" s="1"/>
  <c r="P33" i="19" s="1"/>
  <c r="AB40" i="18"/>
  <c r="AB35"/>
  <c r="H25" i="13" s="1"/>
  <c r="J25" s="1"/>
  <c r="P25" i="19" s="1"/>
  <c r="AB38" i="18"/>
  <c r="H28" i="13" s="1"/>
  <c r="J28" s="1"/>
  <c r="P28" i="19" s="1"/>
  <c r="AB37" i="18"/>
  <c r="H30" i="13" s="1"/>
  <c r="J30" s="1"/>
  <c r="P30" i="19" s="1"/>
  <c r="AB36" i="18"/>
  <c r="H27" i="13" s="1"/>
  <c r="J27" s="1"/>
  <c r="P27" i="19" s="1"/>
  <c r="AB20" i="18"/>
  <c r="AB16"/>
  <c r="AB19"/>
  <c r="AB21"/>
  <c r="AB17"/>
  <c r="AB18"/>
  <c r="AB34"/>
  <c r="H34" i="13" s="1"/>
  <c r="J34" s="1"/>
  <c r="P34" i="19" s="1"/>
  <c r="AB33" i="18"/>
  <c r="H24" i="13" s="1"/>
  <c r="J24" s="1"/>
  <c r="P24" i="19" s="1"/>
  <c r="AB32" i="18"/>
  <c r="H31" i="13" s="1"/>
  <c r="J31" s="1"/>
  <c r="P31" i="19" s="1"/>
  <c r="AB14" i="18"/>
  <c r="H5" i="13" s="1"/>
  <c r="J5" s="1"/>
  <c r="P5" i="19" s="1"/>
  <c r="AB30" i="18"/>
  <c r="H23" i="13" s="1"/>
  <c r="J23" s="1"/>
  <c r="P23" i="19" s="1"/>
  <c r="AB29" i="18"/>
  <c r="H32" i="13" s="1"/>
  <c r="J32" s="1"/>
  <c r="P32" i="19" s="1"/>
  <c r="AB31" i="18"/>
  <c r="H35" i="13" s="1"/>
  <c r="J35" s="1"/>
  <c r="P35" i="19" s="1"/>
  <c r="AB15" i="18"/>
  <c r="H7" i="13" s="1"/>
  <c r="J7" s="1"/>
  <c r="P7" i="19" s="1"/>
  <c r="AB12" i="18"/>
  <c r="H8" i="13" s="1"/>
  <c r="J8" s="1"/>
  <c r="P8" i="19" s="1"/>
  <c r="C46" i="21"/>
  <c r="Z32" i="18"/>
  <c r="Z39"/>
  <c r="Z17"/>
  <c r="Z19"/>
  <c r="Z41"/>
  <c r="Z40"/>
  <c r="Z13"/>
  <c r="Z31"/>
  <c r="Z36"/>
  <c r="Z22"/>
  <c r="Z14"/>
  <c r="Z11"/>
  <c r="Z26"/>
  <c r="Z18"/>
  <c r="Z35"/>
  <c r="Z24"/>
  <c r="Z33"/>
  <c r="Z27"/>
  <c r="Z34"/>
  <c r="Z12"/>
  <c r="Z16"/>
  <c r="Z23"/>
  <c r="Z42"/>
  <c r="Z15"/>
  <c r="Z20"/>
  <c r="Z30"/>
  <c r="Z37"/>
  <c r="Z25"/>
  <c r="Z21"/>
  <c r="Z29"/>
  <c r="Z28"/>
  <c r="Z38"/>
  <c r="Q5" i="19" l="1"/>
  <c r="Q23"/>
  <c r="Y7" i="18"/>
  <c r="H10" i="13"/>
  <c r="J10" s="1"/>
  <c r="P10" i="19" s="1"/>
  <c r="G14" i="21"/>
  <c r="H11" i="13"/>
  <c r="J11" s="1"/>
  <c r="P11" i="19" s="1"/>
  <c r="G15" i="21"/>
  <c r="H16" i="13"/>
  <c r="J16" s="1"/>
  <c r="P16" i="19" s="1"/>
  <c r="Q16" s="1"/>
  <c r="G22" i="21"/>
  <c r="H14" i="13"/>
  <c r="J14" s="1"/>
  <c r="P14" i="19" s="1"/>
  <c r="G23" i="21"/>
  <c r="H13" i="13"/>
  <c r="J13" s="1"/>
  <c r="P13" i="19" s="1"/>
  <c r="G19" i="21"/>
  <c r="H12" i="13"/>
  <c r="J12" s="1"/>
  <c r="P12" i="19" s="1"/>
  <c r="G20" i="21"/>
  <c r="AB7" i="18"/>
  <c r="H26" i="13"/>
  <c r="J26" s="1"/>
  <c r="P26" i="19" s="1"/>
  <c r="H36" i="13"/>
  <c r="J36" s="1"/>
  <c r="P36" i="19" s="1"/>
  <c r="Q25" l="1"/>
  <c r="Q10"/>
  <c r="I19" i="21"/>
  <c r="I22"/>
  <c r="I14"/>
  <c r="G41"/>
  <c r="I20"/>
  <c r="I23"/>
  <c r="I15"/>
  <c r="C45"/>
  <c r="H37" i="13"/>
  <c r="K19" l="1"/>
  <c r="G20" i="25" s="1"/>
  <c r="Q20" s="1"/>
  <c r="K16" i="13"/>
  <c r="G18" i="25" s="1"/>
  <c r="Q18" s="1"/>
  <c r="K18" i="13"/>
  <c r="G17" i="25" s="1"/>
  <c r="Q17" s="1"/>
  <c r="K22" i="13"/>
  <c r="G28" i="25" s="1"/>
  <c r="Q28" s="1"/>
  <c r="K17" i="13"/>
  <c r="K21"/>
  <c r="G25" i="25" s="1"/>
  <c r="Q25" s="1"/>
  <c r="K20" i="13"/>
  <c r="G14" i="25" s="1"/>
  <c r="Q14" s="1"/>
  <c r="I41" i="21"/>
  <c r="K35" i="13"/>
  <c r="G35" i="25" s="1"/>
  <c r="Q35" s="1"/>
  <c r="K31" i="13"/>
  <c r="G29" i="25" s="1"/>
  <c r="Q29" s="1"/>
  <c r="K27" i="13"/>
  <c r="G23" i="25" s="1"/>
  <c r="Q23" s="1"/>
  <c r="K36" i="13"/>
  <c r="G36" i="25" s="1"/>
  <c r="Q36" s="1"/>
  <c r="K32" i="13"/>
  <c r="K28"/>
  <c r="G24" i="25" s="1"/>
  <c r="Q24" s="1"/>
  <c r="K33" i="13"/>
  <c r="G31" i="25" s="1"/>
  <c r="Q31" s="1"/>
  <c r="K29" i="13"/>
  <c r="G26" i="25" s="1"/>
  <c r="Q26" s="1"/>
  <c r="K25" i="13"/>
  <c r="G22" i="25" s="1"/>
  <c r="Q22" s="1"/>
  <c r="K34" i="13"/>
  <c r="G33" i="25" s="1"/>
  <c r="Q33" s="1"/>
  <c r="K30" i="13"/>
  <c r="G27" i="25" s="1"/>
  <c r="Q27" s="1"/>
  <c r="K26" i="13"/>
  <c r="G21" i="25" s="1"/>
  <c r="Q21" s="1"/>
  <c r="K23" i="13"/>
  <c r="G32" i="25" s="1"/>
  <c r="Q32" s="1"/>
  <c r="K24" i="13"/>
  <c r="G34" i="25" s="1"/>
  <c r="Q34" s="1"/>
  <c r="G12"/>
  <c r="Q12" s="1"/>
  <c r="G30"/>
  <c r="Q30" s="1"/>
  <c r="K13" i="13" l="1"/>
  <c r="G15" i="25" s="1"/>
  <c r="Q15" s="1"/>
  <c r="K12" i="13"/>
  <c r="G16" i="25" s="1"/>
  <c r="Q16" s="1"/>
  <c r="K10" i="13"/>
  <c r="G10" i="25" s="1"/>
  <c r="Q10" s="1"/>
  <c r="K11" i="13"/>
  <c r="G11" i="25" s="1"/>
  <c r="Q11" s="1"/>
  <c r="K14" i="13"/>
  <c r="G19" i="25" s="1"/>
  <c r="Q19" s="1"/>
  <c r="K15" i="13"/>
  <c r="G13" i="25" s="1"/>
  <c r="Q13" s="1"/>
  <c r="C42"/>
  <c r="J32"/>
  <c r="J28"/>
  <c r="J34"/>
  <c r="J35"/>
  <c r="J30"/>
  <c r="J26"/>
  <c r="J14"/>
  <c r="J18"/>
  <c r="J27"/>
  <c r="J36"/>
  <c r="J31"/>
  <c r="J17"/>
  <c r="J25"/>
  <c r="J33"/>
  <c r="J23"/>
  <c r="J21"/>
  <c r="J20"/>
  <c r="J12"/>
  <c r="J22"/>
  <c r="J29"/>
  <c r="J24"/>
  <c r="I37" i="13"/>
  <c r="J13" i="25" l="1"/>
  <c r="K6" i="13"/>
  <c r="G9" i="25" s="1"/>
  <c r="Q9" s="1"/>
  <c r="J10"/>
  <c r="J16"/>
  <c r="J11"/>
  <c r="J19"/>
  <c r="J15"/>
  <c r="K8" i="13"/>
  <c r="G6" i="25" s="1"/>
  <c r="Q6" s="1"/>
  <c r="K7" i="13"/>
  <c r="G5" i="25" s="1"/>
  <c r="Q5" s="1"/>
  <c r="K5" i="13"/>
  <c r="G7" i="25" s="1"/>
  <c r="Q7" s="1"/>
  <c r="K9" i="13"/>
  <c r="G8" i="25" s="1"/>
  <c r="Q8" s="1"/>
  <c r="J37" i="13"/>
  <c r="K5" i="25" l="1"/>
  <c r="I5"/>
  <c r="C41"/>
  <c r="J9"/>
  <c r="J5"/>
  <c r="G37"/>
  <c r="Q37" s="1"/>
  <c r="J7"/>
  <c r="J8"/>
  <c r="J6"/>
  <c r="K37" i="13"/>
  <c r="C5" i="9"/>
  <c r="D5"/>
  <c r="M6" i="25" s="1"/>
  <c r="E5" i="9"/>
  <c r="F5"/>
  <c r="B10" i="21" s="1"/>
  <c r="G5" i="9"/>
  <c r="H5"/>
  <c r="I5"/>
  <c r="J5"/>
  <c r="K5"/>
  <c r="L5"/>
  <c r="M5"/>
  <c r="N6" i="25" s="1"/>
  <c r="N5" i="9"/>
  <c r="O5"/>
  <c r="C10" i="21" s="1"/>
  <c r="P5" i="9"/>
  <c r="Q5"/>
  <c r="R5"/>
  <c r="S5"/>
  <c r="T5"/>
  <c r="C6"/>
  <c r="D6"/>
  <c r="M7" i="25" s="1"/>
  <c r="E6" i="9"/>
  <c r="F6"/>
  <c r="B11" i="21" s="1"/>
  <c r="G6" i="9"/>
  <c r="H6"/>
  <c r="I6"/>
  <c r="J6"/>
  <c r="K6"/>
  <c r="L6"/>
  <c r="M6"/>
  <c r="N7" i="25" s="1"/>
  <c r="N6" i="9"/>
  <c r="O6"/>
  <c r="C11" i="21" s="1"/>
  <c r="P6" i="9"/>
  <c r="Q6"/>
  <c r="R6"/>
  <c r="S6"/>
  <c r="T6"/>
  <c r="C7"/>
  <c r="D7"/>
  <c r="M8" i="25" s="1"/>
  <c r="E7" i="9"/>
  <c r="F7"/>
  <c r="B12" i="21" s="1"/>
  <c r="G7" i="9"/>
  <c r="H7"/>
  <c r="I7"/>
  <c r="J7"/>
  <c r="K7"/>
  <c r="L7"/>
  <c r="M7"/>
  <c r="N8" i="25" s="1"/>
  <c r="N7" i="9"/>
  <c r="O7"/>
  <c r="C12" i="21" s="1"/>
  <c r="P7" i="9"/>
  <c r="Q7"/>
  <c r="R7"/>
  <c r="S7"/>
  <c r="T7"/>
  <c r="C8"/>
  <c r="D8"/>
  <c r="M9" i="25" s="1"/>
  <c r="E8" i="9"/>
  <c r="F8"/>
  <c r="B13" i="21" s="1"/>
  <c r="G8" i="9"/>
  <c r="H8"/>
  <c r="I8"/>
  <c r="J8"/>
  <c r="K8"/>
  <c r="L8"/>
  <c r="M8"/>
  <c r="N9" i="25" s="1"/>
  <c r="N8" i="9"/>
  <c r="O8"/>
  <c r="C13" i="21" s="1"/>
  <c r="P8" i="9"/>
  <c r="Q8"/>
  <c r="R8"/>
  <c r="S8"/>
  <c r="T8"/>
  <c r="C9"/>
  <c r="D9"/>
  <c r="M10" i="25" s="1"/>
  <c r="E9" i="9"/>
  <c r="F9"/>
  <c r="B14" i="21" s="1"/>
  <c r="G9" i="9"/>
  <c r="H9"/>
  <c r="I9"/>
  <c r="J9"/>
  <c r="K9"/>
  <c r="L9"/>
  <c r="M9"/>
  <c r="N10" i="25" s="1"/>
  <c r="N9" i="9"/>
  <c r="O9"/>
  <c r="C14" i="21" s="1"/>
  <c r="P9" i="9"/>
  <c r="Q9"/>
  <c r="R9"/>
  <c r="S9"/>
  <c r="T9"/>
  <c r="C10"/>
  <c r="D10"/>
  <c r="M11" i="25" s="1"/>
  <c r="E10" i="9"/>
  <c r="F10"/>
  <c r="B15" i="21" s="1"/>
  <c r="G10" i="9"/>
  <c r="H10"/>
  <c r="I10"/>
  <c r="J10"/>
  <c r="K10"/>
  <c r="L10"/>
  <c r="M10"/>
  <c r="N11" i="25" s="1"/>
  <c r="N10" i="9"/>
  <c r="O10"/>
  <c r="C15" i="21" s="1"/>
  <c r="P10" i="9"/>
  <c r="Q10"/>
  <c r="R10"/>
  <c r="S10"/>
  <c r="T10"/>
  <c r="C11"/>
  <c r="D11"/>
  <c r="M12" i="25" s="1"/>
  <c r="E11" i="9"/>
  <c r="F11"/>
  <c r="B16" i="21" s="1"/>
  <c r="G11" i="9"/>
  <c r="H11"/>
  <c r="I11"/>
  <c r="J11"/>
  <c r="K11"/>
  <c r="L11"/>
  <c r="M11"/>
  <c r="N12" i="25" s="1"/>
  <c r="N11" i="9"/>
  <c r="O11"/>
  <c r="C16" i="21" s="1"/>
  <c r="P11" i="9"/>
  <c r="Q11"/>
  <c r="R11"/>
  <c r="S11"/>
  <c r="T11"/>
  <c r="C12"/>
  <c r="D12"/>
  <c r="M13" i="25" s="1"/>
  <c r="E12" i="9"/>
  <c r="F12"/>
  <c r="B17" i="21" s="1"/>
  <c r="G12" i="9"/>
  <c r="H12"/>
  <c r="I12"/>
  <c r="J12"/>
  <c r="K12"/>
  <c r="L12"/>
  <c r="M12"/>
  <c r="N13" i="25" s="1"/>
  <c r="N12" i="9"/>
  <c r="O12"/>
  <c r="C17" i="21" s="1"/>
  <c r="P12" i="9"/>
  <c r="Q12"/>
  <c r="R12"/>
  <c r="S12"/>
  <c r="T12"/>
  <c r="C13"/>
  <c r="D13"/>
  <c r="M14" i="25" s="1"/>
  <c r="E13" i="9"/>
  <c r="F13"/>
  <c r="B18" i="21" s="1"/>
  <c r="G13" i="9"/>
  <c r="H13"/>
  <c r="I13"/>
  <c r="J13"/>
  <c r="K13"/>
  <c r="L13"/>
  <c r="M13"/>
  <c r="N14" i="25" s="1"/>
  <c r="N13" i="9"/>
  <c r="O13"/>
  <c r="C18" i="21" s="1"/>
  <c r="P13" i="9"/>
  <c r="Q13"/>
  <c r="R13"/>
  <c r="S13"/>
  <c r="T13"/>
  <c r="C14"/>
  <c r="D14"/>
  <c r="M15" i="25" s="1"/>
  <c r="E14" i="9"/>
  <c r="F14"/>
  <c r="B19" i="21" s="1"/>
  <c r="G14" i="9"/>
  <c r="H14"/>
  <c r="I14"/>
  <c r="J14"/>
  <c r="K14"/>
  <c r="L14"/>
  <c r="M14"/>
  <c r="N15" i="25" s="1"/>
  <c r="N14" i="9"/>
  <c r="O14"/>
  <c r="C19" i="21" s="1"/>
  <c r="P14" i="9"/>
  <c r="Q14"/>
  <c r="R14"/>
  <c r="S14"/>
  <c r="T14"/>
  <c r="C15"/>
  <c r="D15"/>
  <c r="M16" i="25" s="1"/>
  <c r="E15" i="9"/>
  <c r="F15"/>
  <c r="B20" i="21" s="1"/>
  <c r="G15" i="9"/>
  <c r="H15"/>
  <c r="I15"/>
  <c r="J15"/>
  <c r="K15"/>
  <c r="L15"/>
  <c r="M15"/>
  <c r="N16" i="25" s="1"/>
  <c r="N15" i="9"/>
  <c r="O15"/>
  <c r="C20" i="21" s="1"/>
  <c r="P15" i="9"/>
  <c r="Q15"/>
  <c r="R15"/>
  <c r="S15"/>
  <c r="T15"/>
  <c r="C16"/>
  <c r="D16"/>
  <c r="M17" i="25" s="1"/>
  <c r="E16" i="9"/>
  <c r="F16"/>
  <c r="B21" i="21" s="1"/>
  <c r="G16" i="9"/>
  <c r="H16"/>
  <c r="I16"/>
  <c r="J16"/>
  <c r="K16"/>
  <c r="L16"/>
  <c r="M16"/>
  <c r="N17" i="25" s="1"/>
  <c r="N16" i="9"/>
  <c r="O16"/>
  <c r="C21" i="21" s="1"/>
  <c r="P16" i="9"/>
  <c r="Q16"/>
  <c r="R16"/>
  <c r="S16"/>
  <c r="T16"/>
  <c r="C17"/>
  <c r="D17"/>
  <c r="M18" i="25" s="1"/>
  <c r="E17" i="9"/>
  <c r="F17"/>
  <c r="B22" i="21" s="1"/>
  <c r="G17" i="9"/>
  <c r="H17"/>
  <c r="I17"/>
  <c r="J17"/>
  <c r="K17"/>
  <c r="L17"/>
  <c r="M17"/>
  <c r="N18" i="25" s="1"/>
  <c r="N17" i="9"/>
  <c r="O17"/>
  <c r="C22" i="21" s="1"/>
  <c r="P17" i="9"/>
  <c r="Q17"/>
  <c r="R17"/>
  <c r="S17"/>
  <c r="T17"/>
  <c r="C18"/>
  <c r="D18"/>
  <c r="M19" i="25" s="1"/>
  <c r="E18" i="9"/>
  <c r="F18"/>
  <c r="B23" i="21" s="1"/>
  <c r="G18" i="9"/>
  <c r="H18"/>
  <c r="I18"/>
  <c r="J18"/>
  <c r="K18"/>
  <c r="L18"/>
  <c r="M18"/>
  <c r="N19" i="25" s="1"/>
  <c r="N18" i="9"/>
  <c r="O18"/>
  <c r="C23" i="21" s="1"/>
  <c r="P18" i="9"/>
  <c r="Q18"/>
  <c r="R18"/>
  <c r="S18"/>
  <c r="T18"/>
  <c r="C19"/>
  <c r="D19"/>
  <c r="M20" i="25" s="1"/>
  <c r="E19" i="9"/>
  <c r="F19"/>
  <c r="B24" i="21" s="1"/>
  <c r="G19" i="9"/>
  <c r="H19"/>
  <c r="I19"/>
  <c r="J19"/>
  <c r="K19"/>
  <c r="L19"/>
  <c r="M19"/>
  <c r="N20" i="25" s="1"/>
  <c r="N19" i="9"/>
  <c r="O19"/>
  <c r="C24" i="21" s="1"/>
  <c r="P19" i="9"/>
  <c r="Q19"/>
  <c r="R19"/>
  <c r="S19"/>
  <c r="T19"/>
  <c r="C20"/>
  <c r="D20"/>
  <c r="M21" i="25" s="1"/>
  <c r="E20" i="9"/>
  <c r="F20"/>
  <c r="B25" i="21" s="1"/>
  <c r="G20" i="9"/>
  <c r="H20"/>
  <c r="I20"/>
  <c r="J20"/>
  <c r="K20"/>
  <c r="L20"/>
  <c r="M20"/>
  <c r="N21" i="25" s="1"/>
  <c r="N20" i="9"/>
  <c r="O20"/>
  <c r="C25" i="21" s="1"/>
  <c r="P20" i="9"/>
  <c r="Q20"/>
  <c r="R20"/>
  <c r="S20"/>
  <c r="T20"/>
  <c r="C21"/>
  <c r="D21"/>
  <c r="M22" i="25" s="1"/>
  <c r="E21" i="9"/>
  <c r="F21"/>
  <c r="B26" i="21" s="1"/>
  <c r="G21" i="9"/>
  <c r="H21"/>
  <c r="I21"/>
  <c r="J21"/>
  <c r="K21"/>
  <c r="L21"/>
  <c r="M21"/>
  <c r="N22" i="25" s="1"/>
  <c r="N21" i="9"/>
  <c r="O21"/>
  <c r="C26" i="21" s="1"/>
  <c r="P21" i="9"/>
  <c r="Q21"/>
  <c r="R21"/>
  <c r="S21"/>
  <c r="T21"/>
  <c r="C22"/>
  <c r="D22"/>
  <c r="M23" i="25" s="1"/>
  <c r="E22" i="9"/>
  <c r="F22"/>
  <c r="B27" i="21" s="1"/>
  <c r="G22" i="9"/>
  <c r="H22"/>
  <c r="I22"/>
  <c r="J22"/>
  <c r="K22"/>
  <c r="L22"/>
  <c r="M22"/>
  <c r="N23" i="25" s="1"/>
  <c r="N22" i="9"/>
  <c r="O22"/>
  <c r="C27" i="21" s="1"/>
  <c r="P22" i="9"/>
  <c r="Q22"/>
  <c r="R22"/>
  <c r="S22"/>
  <c r="T22"/>
  <c r="C23"/>
  <c r="D23"/>
  <c r="M24" i="25" s="1"/>
  <c r="E23" i="9"/>
  <c r="F23"/>
  <c r="B28" i="21" s="1"/>
  <c r="G23" i="9"/>
  <c r="H23"/>
  <c r="I23"/>
  <c r="J23"/>
  <c r="K23"/>
  <c r="L23"/>
  <c r="M23"/>
  <c r="N24" i="25" s="1"/>
  <c r="N23" i="9"/>
  <c r="O23"/>
  <c r="C28" i="21" s="1"/>
  <c r="P23" i="9"/>
  <c r="Q23"/>
  <c r="R23"/>
  <c r="S23"/>
  <c r="T23"/>
  <c r="C24"/>
  <c r="D24"/>
  <c r="M25" i="25" s="1"/>
  <c r="E24" i="9"/>
  <c r="F24"/>
  <c r="B29" i="21" s="1"/>
  <c r="K29" s="1"/>
  <c r="G24" i="9"/>
  <c r="H24"/>
  <c r="I24"/>
  <c r="J24"/>
  <c r="K24"/>
  <c r="L24"/>
  <c r="M24"/>
  <c r="N25" i="25" s="1"/>
  <c r="N24" i="9"/>
  <c r="O24"/>
  <c r="C29" i="21" s="1"/>
  <c r="P24" i="9"/>
  <c r="Q24"/>
  <c r="R24"/>
  <c r="S24"/>
  <c r="T24"/>
  <c r="C25"/>
  <c r="D25"/>
  <c r="M26" i="25" s="1"/>
  <c r="E25" i="9"/>
  <c r="F25"/>
  <c r="B30" i="21" s="1"/>
  <c r="G25" i="9"/>
  <c r="H25"/>
  <c r="I25"/>
  <c r="J25"/>
  <c r="K25"/>
  <c r="L25"/>
  <c r="M25"/>
  <c r="N26" i="25" s="1"/>
  <c r="N25" i="9"/>
  <c r="O25"/>
  <c r="C30" i="21" s="1"/>
  <c r="P25" i="9"/>
  <c r="Q25"/>
  <c r="R25"/>
  <c r="S25"/>
  <c r="T25"/>
  <c r="C26"/>
  <c r="D26"/>
  <c r="M27" i="25" s="1"/>
  <c r="E26" i="9"/>
  <c r="F26"/>
  <c r="B31" i="21" s="1"/>
  <c r="G26" i="9"/>
  <c r="H26"/>
  <c r="I26"/>
  <c r="J26"/>
  <c r="K26"/>
  <c r="L26"/>
  <c r="M26"/>
  <c r="N27" i="25" s="1"/>
  <c r="N26" i="9"/>
  <c r="O26"/>
  <c r="C31" i="21" s="1"/>
  <c r="P26" i="9"/>
  <c r="Q26"/>
  <c r="R26"/>
  <c r="S26"/>
  <c r="T26"/>
  <c r="C27"/>
  <c r="D27"/>
  <c r="M28" i="25" s="1"/>
  <c r="E27" i="9"/>
  <c r="F27"/>
  <c r="B32" i="21" s="1"/>
  <c r="G27" i="9"/>
  <c r="H27"/>
  <c r="I27"/>
  <c r="J27"/>
  <c r="K27"/>
  <c r="L27"/>
  <c r="M27"/>
  <c r="N28" i="25" s="1"/>
  <c r="N27" i="9"/>
  <c r="O27"/>
  <c r="C32" i="21" s="1"/>
  <c r="P27" i="9"/>
  <c r="Q27"/>
  <c r="R27"/>
  <c r="S27"/>
  <c r="T27"/>
  <c r="C28"/>
  <c r="D28"/>
  <c r="M29" i="25" s="1"/>
  <c r="E28" i="9"/>
  <c r="F28"/>
  <c r="B33" i="21" s="1"/>
  <c r="K33" s="1"/>
  <c r="G28" i="9"/>
  <c r="H28"/>
  <c r="I28"/>
  <c r="J28"/>
  <c r="K28"/>
  <c r="L28"/>
  <c r="M28"/>
  <c r="N29" i="25" s="1"/>
  <c r="N28" i="9"/>
  <c r="O28"/>
  <c r="C33" i="21" s="1"/>
  <c r="P28" i="9"/>
  <c r="Q28"/>
  <c r="R28"/>
  <c r="S28"/>
  <c r="T28"/>
  <c r="C29"/>
  <c r="D29"/>
  <c r="M30" i="25" s="1"/>
  <c r="E29" i="9"/>
  <c r="F29"/>
  <c r="B34" i="21" s="1"/>
  <c r="G29" i="9"/>
  <c r="H29"/>
  <c r="I29"/>
  <c r="J29"/>
  <c r="K29"/>
  <c r="L29"/>
  <c r="M29"/>
  <c r="N30" i="25" s="1"/>
  <c r="N29" i="9"/>
  <c r="O29"/>
  <c r="C34" i="21" s="1"/>
  <c r="P29" i="9"/>
  <c r="Q29"/>
  <c r="R29"/>
  <c r="S29"/>
  <c r="T29"/>
  <c r="C30"/>
  <c r="D30"/>
  <c r="M31" i="25" s="1"/>
  <c r="E30" i="9"/>
  <c r="F30"/>
  <c r="B35" i="21" s="1"/>
  <c r="G30" i="9"/>
  <c r="H30"/>
  <c r="I30"/>
  <c r="J30"/>
  <c r="K30"/>
  <c r="L30"/>
  <c r="M30"/>
  <c r="N31" i="25" s="1"/>
  <c r="N30" i="9"/>
  <c r="O30"/>
  <c r="C35" i="21" s="1"/>
  <c r="P30" i="9"/>
  <c r="Q30"/>
  <c r="R30"/>
  <c r="S30"/>
  <c r="T30"/>
  <c r="C31"/>
  <c r="D31"/>
  <c r="M32" i="25" s="1"/>
  <c r="E31" i="9"/>
  <c r="F31"/>
  <c r="B36" i="21" s="1"/>
  <c r="G31" i="9"/>
  <c r="H31"/>
  <c r="I31"/>
  <c r="J31"/>
  <c r="K31"/>
  <c r="L31"/>
  <c r="M31"/>
  <c r="N32" i="25" s="1"/>
  <c r="N31" i="9"/>
  <c r="O31"/>
  <c r="C36" i="21" s="1"/>
  <c r="P31" i="9"/>
  <c r="Q31"/>
  <c r="R31"/>
  <c r="S31"/>
  <c r="T31"/>
  <c r="C32"/>
  <c r="D32"/>
  <c r="M33" i="25" s="1"/>
  <c r="E32" i="9"/>
  <c r="F32"/>
  <c r="B37" i="21" s="1"/>
  <c r="K37" s="1"/>
  <c r="G32" i="9"/>
  <c r="H32"/>
  <c r="I32"/>
  <c r="J32"/>
  <c r="K32"/>
  <c r="L32"/>
  <c r="M32"/>
  <c r="N33" i="25" s="1"/>
  <c r="N32" i="9"/>
  <c r="O32"/>
  <c r="C37" i="21" s="1"/>
  <c r="P32" i="9"/>
  <c r="Q32"/>
  <c r="R32"/>
  <c r="S32"/>
  <c r="T32"/>
  <c r="C33"/>
  <c r="D33"/>
  <c r="M34" i="25" s="1"/>
  <c r="E33" i="9"/>
  <c r="F33"/>
  <c r="B38" i="21" s="1"/>
  <c r="G33" i="9"/>
  <c r="H33"/>
  <c r="I33"/>
  <c r="J33"/>
  <c r="K33"/>
  <c r="L33"/>
  <c r="M33"/>
  <c r="N34" i="25" s="1"/>
  <c r="N33" i="9"/>
  <c r="O33"/>
  <c r="C38" i="21" s="1"/>
  <c r="P33" i="9"/>
  <c r="Q33"/>
  <c r="R33"/>
  <c r="S33"/>
  <c r="T33"/>
  <c r="C34"/>
  <c r="D34"/>
  <c r="M35" i="25" s="1"/>
  <c r="E34" i="9"/>
  <c r="F34"/>
  <c r="B39" i="21" s="1"/>
  <c r="G34" i="9"/>
  <c r="H34"/>
  <c r="I34"/>
  <c r="J34"/>
  <c r="K34"/>
  <c r="L34"/>
  <c r="M34"/>
  <c r="N35" i="25" s="1"/>
  <c r="N34" i="9"/>
  <c r="O34"/>
  <c r="C39" i="21" s="1"/>
  <c r="P34" i="9"/>
  <c r="Q34"/>
  <c r="R34"/>
  <c r="S34"/>
  <c r="T34"/>
  <c r="C35"/>
  <c r="D35"/>
  <c r="M36" i="25" s="1"/>
  <c r="E35" i="9"/>
  <c r="F35"/>
  <c r="B40" i="21" s="1"/>
  <c r="G35" i="9"/>
  <c r="H35"/>
  <c r="I35"/>
  <c r="J35"/>
  <c r="K35"/>
  <c r="L35"/>
  <c r="M35"/>
  <c r="N36" i="25" s="1"/>
  <c r="N35" i="9"/>
  <c r="O35"/>
  <c r="C40" i="21" s="1"/>
  <c r="P35" i="9"/>
  <c r="Q35"/>
  <c r="R35"/>
  <c r="S35"/>
  <c r="T35"/>
  <c r="T4"/>
  <c r="S4"/>
  <c r="R4"/>
  <c r="Q4"/>
  <c r="P4"/>
  <c r="O4"/>
  <c r="C9" i="21" s="1"/>
  <c r="N4" i="9"/>
  <c r="M4"/>
  <c r="N5" i="25" s="1"/>
  <c r="N37" s="1"/>
  <c r="K4" i="9"/>
  <c r="J4"/>
  <c r="I4"/>
  <c r="H4"/>
  <c r="G4"/>
  <c r="F4"/>
  <c r="B9" i="21" s="1"/>
  <c r="E4" i="9"/>
  <c r="D4"/>
  <c r="M5" i="25" s="1"/>
  <c r="C4" i="9"/>
  <c r="L4"/>
  <c r="U5"/>
  <c r="V5"/>
  <c r="O6" i="25" s="1"/>
  <c r="W5" i="9"/>
  <c r="D10" i="21" s="1"/>
  <c r="X5" i="9"/>
  <c r="Y5"/>
  <c r="Z5"/>
  <c r="AA5"/>
  <c r="U6"/>
  <c r="V6"/>
  <c r="O7" i="25" s="1"/>
  <c r="W6" i="9"/>
  <c r="D11" i="21" s="1"/>
  <c r="X6" i="9"/>
  <c r="Y6"/>
  <c r="Z6"/>
  <c r="AA6"/>
  <c r="U7"/>
  <c r="V7"/>
  <c r="O8" i="25" s="1"/>
  <c r="W7" i="9"/>
  <c r="D12" i="21" s="1"/>
  <c r="X7" i="9"/>
  <c r="Y7"/>
  <c r="Z7"/>
  <c r="AA7"/>
  <c r="U8"/>
  <c r="V8"/>
  <c r="O9" i="25" s="1"/>
  <c r="W8" i="9"/>
  <c r="D13" i="21" s="1"/>
  <c r="X8" i="9"/>
  <c r="Y8"/>
  <c r="Z8"/>
  <c r="AA8"/>
  <c r="U9"/>
  <c r="V9"/>
  <c r="O10" i="25" s="1"/>
  <c r="W9" i="9"/>
  <c r="D14" i="21" s="1"/>
  <c r="X9" i="9"/>
  <c r="Y9"/>
  <c r="Z9"/>
  <c r="AA9"/>
  <c r="U10"/>
  <c r="V10"/>
  <c r="O11" i="25" s="1"/>
  <c r="W10" i="9"/>
  <c r="D15" i="21" s="1"/>
  <c r="X10" i="9"/>
  <c r="Y10"/>
  <c r="Z10"/>
  <c r="AA10"/>
  <c r="U11"/>
  <c r="V11"/>
  <c r="O12" i="25" s="1"/>
  <c r="W11" i="9"/>
  <c r="D16" i="21" s="1"/>
  <c r="X11" i="9"/>
  <c r="Y11"/>
  <c r="Z11"/>
  <c r="AA11"/>
  <c r="U12"/>
  <c r="V12"/>
  <c r="O13" i="25" s="1"/>
  <c r="W12" i="9"/>
  <c r="D17" i="21" s="1"/>
  <c r="X12" i="9"/>
  <c r="Y12"/>
  <c r="Z12"/>
  <c r="AA12"/>
  <c r="U13"/>
  <c r="V13"/>
  <c r="O14" i="25" s="1"/>
  <c r="W13" i="9"/>
  <c r="D18" i="21" s="1"/>
  <c r="X13" i="9"/>
  <c r="Y13"/>
  <c r="Z13"/>
  <c r="AA13"/>
  <c r="U14"/>
  <c r="V14"/>
  <c r="O15" i="25" s="1"/>
  <c r="W14" i="9"/>
  <c r="D19" i="21" s="1"/>
  <c r="X14" i="9"/>
  <c r="Y14"/>
  <c r="Z14"/>
  <c r="AA14"/>
  <c r="U15"/>
  <c r="V15"/>
  <c r="O16" i="25" s="1"/>
  <c r="W15" i="9"/>
  <c r="D20" i="21" s="1"/>
  <c r="X15" i="9"/>
  <c r="Y15"/>
  <c r="Z15"/>
  <c r="AA15"/>
  <c r="U16"/>
  <c r="V16"/>
  <c r="O17" i="25" s="1"/>
  <c r="W16" i="9"/>
  <c r="D21" i="21" s="1"/>
  <c r="X16" i="9"/>
  <c r="Y16"/>
  <c r="Z16"/>
  <c r="AA16"/>
  <c r="U17"/>
  <c r="V17"/>
  <c r="O18" i="25" s="1"/>
  <c r="W17" i="9"/>
  <c r="D22" i="21" s="1"/>
  <c r="X17" i="9"/>
  <c r="Y17"/>
  <c r="Z17"/>
  <c r="AA17"/>
  <c r="U18"/>
  <c r="V18"/>
  <c r="O19" i="25" s="1"/>
  <c r="W18" i="9"/>
  <c r="D23" i="21" s="1"/>
  <c r="X18" i="9"/>
  <c r="Y18"/>
  <c r="Z18"/>
  <c r="AA18"/>
  <c r="U19"/>
  <c r="V19"/>
  <c r="O20" i="25" s="1"/>
  <c r="W19" i="9"/>
  <c r="D24" i="21" s="1"/>
  <c r="X19" i="9"/>
  <c r="Y19"/>
  <c r="Z19"/>
  <c r="AA19"/>
  <c r="U20"/>
  <c r="V20"/>
  <c r="O21" i="25" s="1"/>
  <c r="W20" i="9"/>
  <c r="D25" i="21" s="1"/>
  <c r="X20" i="9"/>
  <c r="Y20"/>
  <c r="Z20"/>
  <c r="AA20"/>
  <c r="U21"/>
  <c r="V21"/>
  <c r="O22" i="25" s="1"/>
  <c r="W21" i="9"/>
  <c r="D26" i="21" s="1"/>
  <c r="X21" i="9"/>
  <c r="Y21"/>
  <c r="Z21"/>
  <c r="AA21"/>
  <c r="U22"/>
  <c r="V22"/>
  <c r="O23" i="25" s="1"/>
  <c r="W22" i="9"/>
  <c r="D27" i="21" s="1"/>
  <c r="X22" i="9"/>
  <c r="Y22"/>
  <c r="Z22"/>
  <c r="AA22"/>
  <c r="U23"/>
  <c r="V23"/>
  <c r="O24" i="25" s="1"/>
  <c r="W23" i="9"/>
  <c r="D28" i="21" s="1"/>
  <c r="X23" i="9"/>
  <c r="Y23"/>
  <c r="Z23"/>
  <c r="AA23"/>
  <c r="U24"/>
  <c r="V24"/>
  <c r="O25" i="25" s="1"/>
  <c r="W24" i="9"/>
  <c r="D29" i="21" s="1"/>
  <c r="E29" s="1"/>
  <c r="H29" s="1"/>
  <c r="X24" i="9"/>
  <c r="Y24"/>
  <c r="Z24"/>
  <c r="AA24"/>
  <c r="U25"/>
  <c r="V25"/>
  <c r="O26" i="25" s="1"/>
  <c r="W25" i="9"/>
  <c r="D30" i="21" s="1"/>
  <c r="X25" i="9"/>
  <c r="Y25"/>
  <c r="Z25"/>
  <c r="AA25"/>
  <c r="U26"/>
  <c r="V26"/>
  <c r="O27" i="25" s="1"/>
  <c r="W26" i="9"/>
  <c r="D31" i="21" s="1"/>
  <c r="X26" i="9"/>
  <c r="Y26"/>
  <c r="Z26"/>
  <c r="AA26"/>
  <c r="U27"/>
  <c r="V27"/>
  <c r="O28" i="25" s="1"/>
  <c r="W27" i="9"/>
  <c r="D32" i="21" s="1"/>
  <c r="X27" i="9"/>
  <c r="Y27"/>
  <c r="Z27"/>
  <c r="AA27"/>
  <c r="U28"/>
  <c r="V28"/>
  <c r="O29" i="25" s="1"/>
  <c r="W28" i="9"/>
  <c r="D33" i="21" s="1"/>
  <c r="E33" s="1"/>
  <c r="H33" s="1"/>
  <c r="X28" i="9"/>
  <c r="Y28"/>
  <c r="Z28"/>
  <c r="AA28"/>
  <c r="U29"/>
  <c r="V29"/>
  <c r="O30" i="25" s="1"/>
  <c r="W29" i="9"/>
  <c r="D34" i="21" s="1"/>
  <c r="X29" i="9"/>
  <c r="Y29"/>
  <c r="Z29"/>
  <c r="AA29"/>
  <c r="U30"/>
  <c r="V30"/>
  <c r="O31" i="25" s="1"/>
  <c r="W30" i="9"/>
  <c r="D35" i="21" s="1"/>
  <c r="X30" i="9"/>
  <c r="Y30"/>
  <c r="Z30"/>
  <c r="AA30"/>
  <c r="U31"/>
  <c r="V31"/>
  <c r="O32" i="25" s="1"/>
  <c r="W31" i="9"/>
  <c r="D36" i="21" s="1"/>
  <c r="X31" i="9"/>
  <c r="Y31"/>
  <c r="Z31"/>
  <c r="AA31"/>
  <c r="U32"/>
  <c r="V32"/>
  <c r="O33" i="25" s="1"/>
  <c r="W32" i="9"/>
  <c r="D37" i="21" s="1"/>
  <c r="E37" s="1"/>
  <c r="H37" s="1"/>
  <c r="X32" i="9"/>
  <c r="Y32"/>
  <c r="Z32"/>
  <c r="AA32"/>
  <c r="U33"/>
  <c r="V33"/>
  <c r="O34" i="25" s="1"/>
  <c r="W33" i="9"/>
  <c r="D38" i="21" s="1"/>
  <c r="X33" i="9"/>
  <c r="Y33"/>
  <c r="Z33"/>
  <c r="AA33"/>
  <c r="U34"/>
  <c r="V34"/>
  <c r="O35" i="25" s="1"/>
  <c r="W34" i="9"/>
  <c r="D39" i="21" s="1"/>
  <c r="X34" i="9"/>
  <c r="Y34"/>
  <c r="Z34"/>
  <c r="AA34"/>
  <c r="U35"/>
  <c r="V35"/>
  <c r="O36" i="25" s="1"/>
  <c r="W35" i="9"/>
  <c r="D40" i="21" s="1"/>
  <c r="X35" i="9"/>
  <c r="Y35"/>
  <c r="Z35"/>
  <c r="AA35"/>
  <c r="AA4"/>
  <c r="Z4"/>
  <c r="Y4"/>
  <c r="X4"/>
  <c r="W4"/>
  <c r="D9" i="21" s="1"/>
  <c r="D41" s="1"/>
  <c r="V4" i="9"/>
  <c r="O5" i="25" s="1"/>
  <c r="O37" s="1"/>
  <c r="U4" i="9"/>
  <c r="AB36"/>
  <c r="AC36"/>
  <c r="AD36"/>
  <c r="AE36"/>
  <c r="AF36"/>
  <c r="AG36"/>
  <c r="AH36"/>
  <c r="AB5"/>
  <c r="AC5"/>
  <c r="AD5"/>
  <c r="AE5"/>
  <c r="AF5"/>
  <c r="AG5"/>
  <c r="AH5"/>
  <c r="AB6"/>
  <c r="AC6"/>
  <c r="AD6"/>
  <c r="AE6"/>
  <c r="AF6"/>
  <c r="AG6"/>
  <c r="AH6"/>
  <c r="AB7"/>
  <c r="AC7"/>
  <c r="AD7"/>
  <c r="AE7"/>
  <c r="AF7"/>
  <c r="AG7"/>
  <c r="AH7"/>
  <c r="AB8"/>
  <c r="AC8"/>
  <c r="AD8"/>
  <c r="AE8"/>
  <c r="AF8"/>
  <c r="AG8"/>
  <c r="AH8"/>
  <c r="AB9"/>
  <c r="AC9"/>
  <c r="AD9"/>
  <c r="AE9"/>
  <c r="AF9"/>
  <c r="AG9"/>
  <c r="AH9"/>
  <c r="AB10"/>
  <c r="AC10"/>
  <c r="AD10"/>
  <c r="AE10"/>
  <c r="AF10"/>
  <c r="AG10"/>
  <c r="AH10"/>
  <c r="AB11"/>
  <c r="AC11"/>
  <c r="AD11"/>
  <c r="AE11"/>
  <c r="AF11"/>
  <c r="AG11"/>
  <c r="AH11"/>
  <c r="AB12"/>
  <c r="AC12"/>
  <c r="AD12"/>
  <c r="AE12"/>
  <c r="AF12"/>
  <c r="AG12"/>
  <c r="AH12"/>
  <c r="AB13"/>
  <c r="AC13"/>
  <c r="AD13"/>
  <c r="AE13"/>
  <c r="AF13"/>
  <c r="AG13"/>
  <c r="AH13"/>
  <c r="AB14"/>
  <c r="AC14"/>
  <c r="AD14"/>
  <c r="AE14"/>
  <c r="AF14"/>
  <c r="AG14"/>
  <c r="AH14"/>
  <c r="AB15"/>
  <c r="AC15"/>
  <c r="AD15"/>
  <c r="AE15"/>
  <c r="AF15"/>
  <c r="AG15"/>
  <c r="AH15"/>
  <c r="AB16"/>
  <c r="AC16"/>
  <c r="AD16"/>
  <c r="AE16"/>
  <c r="AF16"/>
  <c r="AG16"/>
  <c r="AH16"/>
  <c r="AB17"/>
  <c r="AC17"/>
  <c r="AD17"/>
  <c r="AE17"/>
  <c r="AF17"/>
  <c r="AG17"/>
  <c r="AH17"/>
  <c r="AB18"/>
  <c r="AC18"/>
  <c r="AD18"/>
  <c r="AE18"/>
  <c r="AF18"/>
  <c r="AG18"/>
  <c r="AH18"/>
  <c r="AB19"/>
  <c r="AC19"/>
  <c r="AD19"/>
  <c r="AE19"/>
  <c r="AF19"/>
  <c r="AG19"/>
  <c r="AH19"/>
  <c r="AB20"/>
  <c r="AC20"/>
  <c r="AD20"/>
  <c r="AE20"/>
  <c r="AF20"/>
  <c r="AG20"/>
  <c r="AH20"/>
  <c r="AB21"/>
  <c r="AC21"/>
  <c r="AD21"/>
  <c r="AE21"/>
  <c r="AF21"/>
  <c r="AG21"/>
  <c r="AH21"/>
  <c r="AB22"/>
  <c r="AC22"/>
  <c r="AD22"/>
  <c r="AE22"/>
  <c r="AF22"/>
  <c r="AG22"/>
  <c r="AH22"/>
  <c r="AB23"/>
  <c r="AC23"/>
  <c r="AD23"/>
  <c r="AE23"/>
  <c r="AF23"/>
  <c r="AG23"/>
  <c r="AH23"/>
  <c r="AB24"/>
  <c r="AC24"/>
  <c r="AD24"/>
  <c r="AE24"/>
  <c r="AF24"/>
  <c r="AG24"/>
  <c r="AH24"/>
  <c r="AB25"/>
  <c r="AC25"/>
  <c r="AD25"/>
  <c r="AE25"/>
  <c r="AF25"/>
  <c r="AG25"/>
  <c r="AH25"/>
  <c r="AB26"/>
  <c r="AC26"/>
  <c r="AD26"/>
  <c r="AE26"/>
  <c r="AF26"/>
  <c r="AG26"/>
  <c r="AH26"/>
  <c r="AB27"/>
  <c r="AC27"/>
  <c r="AD27"/>
  <c r="AE27"/>
  <c r="AF27"/>
  <c r="AG27"/>
  <c r="AH27"/>
  <c r="AB28"/>
  <c r="AC28"/>
  <c r="AD28"/>
  <c r="AE28"/>
  <c r="AF28"/>
  <c r="AG28"/>
  <c r="AH28"/>
  <c r="AB29"/>
  <c r="AC29"/>
  <c r="AD29"/>
  <c r="AE29"/>
  <c r="AF29"/>
  <c r="AG29"/>
  <c r="AH29"/>
  <c r="AB30"/>
  <c r="AC30"/>
  <c r="AD30"/>
  <c r="AE30"/>
  <c r="AF30"/>
  <c r="AG30"/>
  <c r="AH30"/>
  <c r="AB31"/>
  <c r="AC31"/>
  <c r="AD31"/>
  <c r="AE31"/>
  <c r="AF31"/>
  <c r="AG31"/>
  <c r="AH31"/>
  <c r="AB32"/>
  <c r="AC32"/>
  <c r="AD32"/>
  <c r="AE32"/>
  <c r="AF32"/>
  <c r="AG32"/>
  <c r="AH32"/>
  <c r="AB33"/>
  <c r="AC33"/>
  <c r="AD33"/>
  <c r="AE33"/>
  <c r="AF33"/>
  <c r="AG33"/>
  <c r="AH33"/>
  <c r="AB34"/>
  <c r="AC34"/>
  <c r="AD34"/>
  <c r="AE34"/>
  <c r="AF34"/>
  <c r="AG34"/>
  <c r="AH34"/>
  <c r="AB35"/>
  <c r="AC35"/>
  <c r="AD35"/>
  <c r="AE35"/>
  <c r="AF35"/>
  <c r="AG35"/>
  <c r="AH35"/>
  <c r="AH4"/>
  <c r="AG4"/>
  <c r="AF4"/>
  <c r="AE4"/>
  <c r="AD4"/>
  <c r="AC4"/>
  <c r="AB4"/>
  <c r="N152" i="6"/>
  <c r="N153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21"/>
  <c r="N122" i="5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21"/>
  <c r="P38" i="7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U112" i="8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11"/>
  <c r="R238"/>
  <c r="I238" a="1"/>
  <c r="I238" s="1"/>
  <c r="H238" a="1"/>
  <c r="H238" s="1"/>
  <c r="R237"/>
  <c r="I237" a="1"/>
  <c r="I237" s="1"/>
  <c r="H237" a="1"/>
  <c r="H237" s="1"/>
  <c r="R236"/>
  <c r="I236" a="1"/>
  <c r="I236" s="1"/>
  <c r="H236" a="1"/>
  <c r="H236" s="1"/>
  <c r="S235"/>
  <c r="R235"/>
  <c r="I235"/>
  <c r="I235" a="1"/>
  <c r="H235"/>
  <c r="H235" a="1"/>
  <c r="R234"/>
  <c r="I234" a="1"/>
  <c r="I234" s="1"/>
  <c r="H234" a="1"/>
  <c r="H234" s="1"/>
  <c r="R233"/>
  <c r="I233" a="1"/>
  <c r="I233" s="1"/>
  <c r="H233" a="1"/>
  <c r="H233" s="1"/>
  <c r="R232"/>
  <c r="I232" a="1"/>
  <c r="I232" s="1"/>
  <c r="H232" a="1"/>
  <c r="H232" s="1"/>
  <c r="R231"/>
  <c r="I231" a="1"/>
  <c r="I231" s="1"/>
  <c r="H231" a="1"/>
  <c r="H231" s="1"/>
  <c r="R230"/>
  <c r="I230" a="1"/>
  <c r="I230" s="1"/>
  <c r="H230" a="1"/>
  <c r="H230" s="1"/>
  <c r="R229"/>
  <c r="I229" a="1"/>
  <c r="I229" s="1"/>
  <c r="H229" a="1"/>
  <c r="H229" s="1"/>
  <c r="R228"/>
  <c r="I228" a="1"/>
  <c r="I228" s="1"/>
  <c r="H228" a="1"/>
  <c r="H228" s="1"/>
  <c r="R227"/>
  <c r="I227" a="1"/>
  <c r="I227" s="1"/>
  <c r="H227" a="1"/>
  <c r="H227" s="1"/>
  <c r="R226"/>
  <c r="I226" a="1"/>
  <c r="I226" s="1"/>
  <c r="H226" a="1"/>
  <c r="H226" s="1"/>
  <c r="R225"/>
  <c r="I225" a="1"/>
  <c r="I225" s="1"/>
  <c r="H225" a="1"/>
  <c r="H225" s="1"/>
  <c r="R224"/>
  <c r="I224" a="1"/>
  <c r="I224" s="1"/>
  <c r="H224" a="1"/>
  <c r="H224" s="1"/>
  <c r="R223"/>
  <c r="I223" a="1"/>
  <c r="I223" s="1"/>
  <c r="H223" a="1"/>
  <c r="H223" s="1"/>
  <c r="S222"/>
  <c r="I222" a="1"/>
  <c r="I222" s="1"/>
  <c r="H222" a="1"/>
  <c r="H222" s="1"/>
  <c r="S221"/>
  <c r="I221" a="1"/>
  <c r="I221" s="1"/>
  <c r="H221" a="1"/>
  <c r="H221" s="1"/>
  <c r="S220"/>
  <c r="I220" a="1"/>
  <c r="I220" s="1"/>
  <c r="H220" a="1"/>
  <c r="H220" s="1"/>
  <c r="S219"/>
  <c r="I219" a="1"/>
  <c r="I219" s="1"/>
  <c r="H219" a="1"/>
  <c r="H219" s="1"/>
  <c r="S218"/>
  <c r="I218" a="1"/>
  <c r="I218" s="1"/>
  <c r="H218" a="1"/>
  <c r="H218" s="1"/>
  <c r="S217"/>
  <c r="R217"/>
  <c r="I217"/>
  <c r="I217" a="1"/>
  <c r="H217"/>
  <c r="H217" a="1"/>
  <c r="R216"/>
  <c r="I216" a="1"/>
  <c r="I216" s="1"/>
  <c r="H216" a="1"/>
  <c r="H216" s="1"/>
  <c r="R215"/>
  <c r="I215" a="1"/>
  <c r="I215" s="1"/>
  <c r="H215" a="1"/>
  <c r="H215" s="1"/>
  <c r="R214"/>
  <c r="I214" a="1"/>
  <c r="I214" s="1"/>
  <c r="H214" a="1"/>
  <c r="H214" s="1"/>
  <c r="S213"/>
  <c r="R213"/>
  <c r="I213" a="1"/>
  <c r="I213" s="1"/>
  <c r="H213" a="1"/>
  <c r="H213" s="1"/>
  <c r="R212"/>
  <c r="Q212"/>
  <c r="I212" a="1"/>
  <c r="I212" s="1"/>
  <c r="H212" a="1"/>
  <c r="H212" s="1"/>
  <c r="R211"/>
  <c r="I211" a="1"/>
  <c r="I211" s="1"/>
  <c r="H211" a="1"/>
  <c r="H211" s="1"/>
  <c r="Q211" s="1"/>
  <c r="R210"/>
  <c r="Q210"/>
  <c r="I210" a="1"/>
  <c r="I210" s="1"/>
  <c r="H210" a="1"/>
  <c r="H210" s="1"/>
  <c r="R209"/>
  <c r="I209" a="1"/>
  <c r="I209" s="1"/>
  <c r="H209" a="1"/>
  <c r="H209" s="1"/>
  <c r="Q209" s="1"/>
  <c r="R208"/>
  <c r="Q208"/>
  <c r="I208" a="1"/>
  <c r="I208" s="1"/>
  <c r="H208" a="1"/>
  <c r="H208" s="1"/>
  <c r="S207"/>
  <c r="I207" a="1"/>
  <c r="I207" s="1"/>
  <c r="H207" a="1"/>
  <c r="H207" s="1"/>
  <c r="Q207" s="1"/>
  <c r="S206"/>
  <c r="I206" a="1"/>
  <c r="I206" s="1"/>
  <c r="H206" a="1"/>
  <c r="H206" s="1"/>
  <c r="Q206" s="1"/>
  <c r="S205"/>
  <c r="Q205"/>
  <c r="I205" a="1"/>
  <c r="I205" s="1"/>
  <c r="H205" a="1"/>
  <c r="H205" s="1"/>
  <c r="S204"/>
  <c r="Q204"/>
  <c r="I204" a="1"/>
  <c r="I204" s="1"/>
  <c r="H204" a="1"/>
  <c r="H204" s="1"/>
  <c r="S203"/>
  <c r="I203" a="1"/>
  <c r="I203" s="1"/>
  <c r="H203" a="1"/>
  <c r="H203" s="1"/>
  <c r="Q203" s="1"/>
  <c r="S202"/>
  <c r="I202" a="1"/>
  <c r="I202" s="1"/>
  <c r="H202" a="1"/>
  <c r="H202" s="1"/>
  <c r="Q202" s="1"/>
  <c r="S201"/>
  <c r="R201"/>
  <c r="I201"/>
  <c r="I201" a="1"/>
  <c r="H201"/>
  <c r="H201" a="1"/>
  <c r="R200"/>
  <c r="I200" a="1"/>
  <c r="I200" s="1"/>
  <c r="H200" a="1"/>
  <c r="H200" s="1"/>
  <c r="Q200" s="1"/>
  <c r="R199"/>
  <c r="Q199"/>
  <c r="I199" a="1"/>
  <c r="I199" s="1"/>
  <c r="H199" a="1"/>
  <c r="H199" s="1"/>
  <c r="R198"/>
  <c r="I198" a="1"/>
  <c r="I198" s="1"/>
  <c r="H198" a="1"/>
  <c r="H198" s="1"/>
  <c r="Q198" s="1"/>
  <c r="R197"/>
  <c r="Q197"/>
  <c r="I197" a="1"/>
  <c r="I197" s="1"/>
  <c r="H197" a="1"/>
  <c r="H197" s="1"/>
  <c r="R196"/>
  <c r="I196" a="1"/>
  <c r="I196" s="1"/>
  <c r="H196" a="1"/>
  <c r="H196" s="1"/>
  <c r="Q196" s="1"/>
  <c r="R195"/>
  <c r="Q195"/>
  <c r="I195" a="1"/>
  <c r="I195" s="1"/>
  <c r="H195" a="1"/>
  <c r="H195" s="1"/>
  <c r="R194"/>
  <c r="I194" a="1"/>
  <c r="I194" s="1"/>
  <c r="H194" a="1"/>
  <c r="H194" s="1"/>
  <c r="Q194" s="1"/>
  <c r="R193"/>
  <c r="Q193"/>
  <c r="I193" a="1"/>
  <c r="I193" s="1"/>
  <c r="H193" a="1"/>
  <c r="H193" s="1"/>
  <c r="R192"/>
  <c r="I192" a="1"/>
  <c r="I192" s="1"/>
  <c r="H192" a="1"/>
  <c r="H192" s="1"/>
  <c r="Q192" s="1"/>
  <c r="R191"/>
  <c r="Q191"/>
  <c r="I191" a="1"/>
  <c r="I191" s="1"/>
  <c r="H191" a="1"/>
  <c r="H191" s="1"/>
  <c r="R190"/>
  <c r="I190" a="1"/>
  <c r="I190" s="1"/>
  <c r="H190" a="1"/>
  <c r="H190" s="1"/>
  <c r="Q190" s="1"/>
  <c r="R189"/>
  <c r="Q189"/>
  <c r="I189" a="1"/>
  <c r="I189" s="1"/>
  <c r="H189" a="1"/>
  <c r="H189" s="1"/>
  <c r="R188"/>
  <c r="I188" a="1"/>
  <c r="I188" s="1"/>
  <c r="H188" a="1"/>
  <c r="H188" s="1"/>
  <c r="Q188" s="1"/>
  <c r="R187"/>
  <c r="Q187"/>
  <c r="I187" a="1"/>
  <c r="I187" s="1"/>
  <c r="H187" a="1"/>
  <c r="H187" s="1"/>
  <c r="R186"/>
  <c r="I186" a="1"/>
  <c r="I186" s="1"/>
  <c r="H186" a="1"/>
  <c r="H186" s="1"/>
  <c r="Q186" s="1"/>
  <c r="R185"/>
  <c r="Q185"/>
  <c r="I185" a="1"/>
  <c r="I185" s="1"/>
  <c r="H185" a="1"/>
  <c r="H185" s="1"/>
  <c r="R184"/>
  <c r="I184" a="1"/>
  <c r="I184" s="1"/>
  <c r="H184" a="1"/>
  <c r="H184" s="1"/>
  <c r="Q184" s="1"/>
  <c r="R183"/>
  <c r="Q183"/>
  <c r="I183" a="1"/>
  <c r="I183" s="1"/>
  <c r="H183" a="1"/>
  <c r="H183" s="1"/>
  <c r="R182"/>
  <c r="I182" a="1"/>
  <c r="I182" s="1"/>
  <c r="H182" a="1"/>
  <c r="H182" s="1"/>
  <c r="Q182" s="1"/>
  <c r="S181"/>
  <c r="Q181"/>
  <c r="I181" a="1"/>
  <c r="I181" s="1"/>
  <c r="H181" a="1"/>
  <c r="H181" s="1"/>
  <c r="S180"/>
  <c r="Q180"/>
  <c r="I180" a="1"/>
  <c r="I180" s="1"/>
  <c r="H180" a="1"/>
  <c r="H180" s="1"/>
  <c r="S179"/>
  <c r="I179" a="1"/>
  <c r="I179" s="1"/>
  <c r="H179" a="1"/>
  <c r="H179" s="1"/>
  <c r="Q179" s="1"/>
  <c r="S178"/>
  <c r="I178" a="1"/>
  <c r="I178" s="1"/>
  <c r="H178" a="1"/>
  <c r="H178" s="1"/>
  <c r="Q178" s="1"/>
  <c r="S177"/>
  <c r="Q177"/>
  <c r="I177" a="1"/>
  <c r="I177" s="1"/>
  <c r="H177" a="1"/>
  <c r="H177" s="1"/>
  <c r="S176"/>
  <c r="Q176"/>
  <c r="I176" a="1"/>
  <c r="I176" s="1"/>
  <c r="H176" a="1"/>
  <c r="H176" s="1"/>
  <c r="S175"/>
  <c r="I175" a="1"/>
  <c r="I175" s="1"/>
  <c r="H175" a="1"/>
  <c r="H175" s="1"/>
  <c r="Q175" s="1"/>
  <c r="S174"/>
  <c r="I174" a="1"/>
  <c r="I174" s="1"/>
  <c r="H174" a="1"/>
  <c r="H174" s="1"/>
  <c r="Q174" s="1"/>
  <c r="S173"/>
  <c r="Q173"/>
  <c r="I173" a="1"/>
  <c r="I173" s="1"/>
  <c r="H173" a="1"/>
  <c r="H173" s="1"/>
  <c r="S172"/>
  <c r="Q172"/>
  <c r="I172" a="1"/>
  <c r="I172" s="1"/>
  <c r="H172" a="1"/>
  <c r="H172" s="1"/>
  <c r="S171"/>
  <c r="I171" a="1"/>
  <c r="I171" s="1"/>
  <c r="H171" a="1"/>
  <c r="H171" s="1"/>
  <c r="Q171" s="1"/>
  <c r="S170"/>
  <c r="R170"/>
  <c r="I170"/>
  <c r="I170" a="1"/>
  <c r="H170"/>
  <c r="H170" a="1"/>
  <c r="R169"/>
  <c r="I169" a="1"/>
  <c r="I169" s="1"/>
  <c r="H169" a="1"/>
  <c r="H169" s="1"/>
  <c r="Q169" s="1"/>
  <c r="R168"/>
  <c r="Q168"/>
  <c r="I168" a="1"/>
  <c r="I168" s="1"/>
  <c r="H168" a="1"/>
  <c r="H168" s="1"/>
  <c r="R167"/>
  <c r="I167" a="1"/>
  <c r="I167" s="1"/>
  <c r="H167" a="1"/>
  <c r="H167" s="1"/>
  <c r="Q167" s="1"/>
  <c r="R166"/>
  <c r="Q166"/>
  <c r="I166" a="1"/>
  <c r="I166" s="1"/>
  <c r="H166" a="1"/>
  <c r="H166" s="1"/>
  <c r="R165"/>
  <c r="I165" a="1"/>
  <c r="I165" s="1"/>
  <c r="H165" a="1"/>
  <c r="H165" s="1"/>
  <c r="Q165" s="1"/>
  <c r="R164"/>
  <c r="Q164"/>
  <c r="I164" a="1"/>
  <c r="I164" s="1"/>
  <c r="H164" a="1"/>
  <c r="H164" s="1"/>
  <c r="R163"/>
  <c r="I163" a="1"/>
  <c r="I163" s="1"/>
  <c r="H163" a="1"/>
  <c r="H163" s="1"/>
  <c r="Q163" s="1"/>
  <c r="R162"/>
  <c r="Q162"/>
  <c r="I162" a="1"/>
  <c r="I162" s="1"/>
  <c r="H162" a="1"/>
  <c r="H162" s="1"/>
  <c r="R161"/>
  <c r="I161" a="1"/>
  <c r="I161" s="1"/>
  <c r="H161" a="1"/>
  <c r="H161" s="1"/>
  <c r="Q161" s="1"/>
  <c r="R160"/>
  <c r="Q160"/>
  <c r="I160" a="1"/>
  <c r="I160" s="1"/>
  <c r="H160" a="1"/>
  <c r="H160" s="1"/>
  <c r="R159"/>
  <c r="I159" a="1"/>
  <c r="I159" s="1"/>
  <c r="H159" a="1"/>
  <c r="H159" s="1"/>
  <c r="Q159" s="1"/>
  <c r="R158"/>
  <c r="Q158"/>
  <c r="I158" a="1"/>
  <c r="I158" s="1"/>
  <c r="H158" a="1"/>
  <c r="H158" s="1"/>
  <c r="R157"/>
  <c r="I157" a="1"/>
  <c r="I157" s="1"/>
  <c r="H157" a="1"/>
  <c r="H157" s="1"/>
  <c r="Q157" s="1"/>
  <c r="R156"/>
  <c r="Q156"/>
  <c r="I156" a="1"/>
  <c r="I156" s="1"/>
  <c r="H156" a="1"/>
  <c r="H156" s="1"/>
  <c r="R155"/>
  <c r="I155" a="1"/>
  <c r="I155" s="1"/>
  <c r="H155" a="1"/>
  <c r="H155" s="1"/>
  <c r="Q155" s="1"/>
  <c r="R154"/>
  <c r="Q154"/>
  <c r="I154" a="1"/>
  <c r="I154" s="1"/>
  <c r="H154" a="1"/>
  <c r="H154" s="1"/>
  <c r="R153"/>
  <c r="I153" a="1"/>
  <c r="I153" s="1"/>
  <c r="H153" a="1"/>
  <c r="H153" s="1"/>
  <c r="Q153" s="1"/>
  <c r="R152"/>
  <c r="Q152"/>
  <c r="I152" a="1"/>
  <c r="I152" s="1"/>
  <c r="H152" a="1"/>
  <c r="H152" s="1"/>
  <c r="R151"/>
  <c r="I151" a="1"/>
  <c r="I151" s="1"/>
  <c r="H151" a="1"/>
  <c r="H151" s="1"/>
  <c r="Q151" s="1"/>
  <c r="S150"/>
  <c r="I150" a="1"/>
  <c r="I150" s="1"/>
  <c r="H150" a="1"/>
  <c r="H150" s="1"/>
  <c r="Q150" s="1"/>
  <c r="S149"/>
  <c r="Q149"/>
  <c r="I149" a="1"/>
  <c r="I149" s="1"/>
  <c r="H149" a="1"/>
  <c r="H149" s="1"/>
  <c r="S148"/>
  <c r="Q148"/>
  <c r="I148" a="1"/>
  <c r="I148" s="1"/>
  <c r="H148" a="1"/>
  <c r="H148" s="1"/>
  <c r="S147"/>
  <c r="I147" a="1"/>
  <c r="I147" s="1"/>
  <c r="H147" a="1"/>
  <c r="H147" s="1"/>
  <c r="Q147" s="1"/>
  <c r="S146"/>
  <c r="I146" a="1"/>
  <c r="I146" s="1"/>
  <c r="H146" a="1"/>
  <c r="H146" s="1"/>
  <c r="Q146" s="1"/>
  <c r="S145"/>
  <c r="Q145"/>
  <c r="I145" a="1"/>
  <c r="I145" s="1"/>
  <c r="H145" a="1"/>
  <c r="H145" s="1"/>
  <c r="S144"/>
  <c r="Q144"/>
  <c r="I144" a="1"/>
  <c r="I144" s="1"/>
  <c r="H144" a="1"/>
  <c r="H144" s="1"/>
  <c r="S143"/>
  <c r="R143"/>
  <c r="I143"/>
  <c r="I143" a="1"/>
  <c r="H143"/>
  <c r="H143" a="1"/>
  <c r="R142"/>
  <c r="Q142"/>
  <c r="I142" a="1"/>
  <c r="I142" s="1"/>
  <c r="H142" a="1"/>
  <c r="H142" s="1"/>
  <c r="R141"/>
  <c r="I141" a="1"/>
  <c r="I141" s="1"/>
  <c r="H141" a="1"/>
  <c r="H141" s="1"/>
  <c r="Q141" s="1"/>
  <c r="R140"/>
  <c r="Q140"/>
  <c r="I140" a="1"/>
  <c r="I140" s="1"/>
  <c r="H140" a="1"/>
  <c r="H140" s="1"/>
  <c r="R139"/>
  <c r="I139" a="1"/>
  <c r="I139" s="1"/>
  <c r="H139" a="1"/>
  <c r="H139" s="1"/>
  <c r="Q139" s="1"/>
  <c r="R138"/>
  <c r="Q138"/>
  <c r="I138" a="1"/>
  <c r="I138" s="1"/>
  <c r="H138" a="1"/>
  <c r="H138" s="1"/>
  <c r="R137"/>
  <c r="I137" a="1"/>
  <c r="I137" s="1"/>
  <c r="H137" a="1"/>
  <c r="H137" s="1"/>
  <c r="Q137" s="1"/>
  <c r="R136"/>
  <c r="Q136"/>
  <c r="I136" a="1"/>
  <c r="I136" s="1"/>
  <c r="H136" a="1"/>
  <c r="H136" s="1"/>
  <c r="R135"/>
  <c r="I135" a="1"/>
  <c r="I135" s="1"/>
  <c r="H135" a="1"/>
  <c r="H135" s="1"/>
  <c r="Q135" s="1"/>
  <c r="R134"/>
  <c r="Q134"/>
  <c r="I134" a="1"/>
  <c r="I134" s="1"/>
  <c r="H134" a="1"/>
  <c r="H134" s="1"/>
  <c r="R133"/>
  <c r="I133" a="1"/>
  <c r="I133" s="1"/>
  <c r="H133" a="1"/>
  <c r="H133" s="1"/>
  <c r="Q133" s="1"/>
  <c r="R132"/>
  <c r="Q132"/>
  <c r="I132" a="1"/>
  <c r="I132" s="1"/>
  <c r="H132" a="1"/>
  <c r="H132" s="1"/>
  <c r="R131"/>
  <c r="I131" a="1"/>
  <c r="I131" s="1"/>
  <c r="H131" a="1"/>
  <c r="H131" s="1"/>
  <c r="Q131" s="1"/>
  <c r="R130"/>
  <c r="Q130"/>
  <c r="I130" a="1"/>
  <c r="I130" s="1"/>
  <c r="H130" a="1"/>
  <c r="H130" s="1"/>
  <c r="R129"/>
  <c r="I129" a="1"/>
  <c r="I129" s="1"/>
  <c r="H129" a="1"/>
  <c r="H129" s="1"/>
  <c r="Q129" s="1"/>
  <c r="R128"/>
  <c r="Q128"/>
  <c r="I128" a="1"/>
  <c r="I128" s="1"/>
  <c r="H128" a="1"/>
  <c r="H128" s="1"/>
  <c r="R127"/>
  <c r="I127" a="1"/>
  <c r="I127" s="1"/>
  <c r="H127" a="1"/>
  <c r="H127" s="1"/>
  <c r="Q127" s="1"/>
  <c r="R126"/>
  <c r="Q126"/>
  <c r="I126" a="1"/>
  <c r="I126" s="1"/>
  <c r="H126" a="1"/>
  <c r="H126" s="1"/>
  <c r="R125"/>
  <c r="I125" a="1"/>
  <c r="I125" s="1"/>
  <c r="H125" a="1"/>
  <c r="H125" s="1"/>
  <c r="Q125" s="1"/>
  <c r="S124"/>
  <c r="Q124"/>
  <c r="I124" a="1"/>
  <c r="I124" s="1"/>
  <c r="H124" a="1"/>
  <c r="H124" s="1"/>
  <c r="S123"/>
  <c r="Q123"/>
  <c r="I123" a="1"/>
  <c r="I123" s="1"/>
  <c r="H123" a="1"/>
  <c r="H123" s="1"/>
  <c r="S122"/>
  <c r="I122" a="1"/>
  <c r="I122" s="1"/>
  <c r="H122" a="1"/>
  <c r="H122" s="1"/>
  <c r="Q122" s="1"/>
  <c r="S121"/>
  <c r="I121" a="1"/>
  <c r="I121" s="1"/>
  <c r="H121" a="1"/>
  <c r="H121" s="1"/>
  <c r="Q121" s="1"/>
  <c r="S120"/>
  <c r="Q120"/>
  <c r="I120" a="1"/>
  <c r="I120" s="1"/>
  <c r="H120" a="1"/>
  <c r="H120" s="1"/>
  <c r="S119"/>
  <c r="Q119"/>
  <c r="I119" a="1"/>
  <c r="I119" s="1"/>
  <c r="H119" a="1"/>
  <c r="H119" s="1"/>
  <c r="S118"/>
  <c r="I118" a="1"/>
  <c r="I118" s="1"/>
  <c r="H118" a="1"/>
  <c r="H118" s="1"/>
  <c r="Q118" s="1"/>
  <c r="S117"/>
  <c r="I117" a="1"/>
  <c r="I117" s="1"/>
  <c r="H117" a="1"/>
  <c r="H117" s="1"/>
  <c r="Q117" s="1"/>
  <c r="S116"/>
  <c r="Q116"/>
  <c r="I116" a="1"/>
  <c r="I116" s="1"/>
  <c r="H116" a="1"/>
  <c r="H116" s="1"/>
  <c r="S115"/>
  <c r="I115" a="1"/>
  <c r="I115" s="1"/>
  <c r="H115" a="1"/>
  <c r="H115" s="1"/>
  <c r="S114"/>
  <c r="I114" a="1"/>
  <c r="I114" s="1"/>
  <c r="H114" a="1"/>
  <c r="H114" s="1"/>
  <c r="S113"/>
  <c r="I113" a="1"/>
  <c r="I113" s="1"/>
  <c r="H113" a="1"/>
  <c r="H113" s="1"/>
  <c r="S112"/>
  <c r="I112" a="1"/>
  <c r="I112" s="1"/>
  <c r="H112" a="1"/>
  <c r="H112" s="1"/>
  <c r="S111"/>
  <c r="I111" a="1"/>
  <c r="I111" s="1"/>
  <c r="H111" a="1"/>
  <c r="H111" s="1"/>
  <c r="S110"/>
  <c r="R110"/>
  <c r="I110"/>
  <c r="I110" a="1"/>
  <c r="H110"/>
  <c r="H110" a="1"/>
  <c r="R109"/>
  <c r="I109" a="1"/>
  <c r="I109" s="1"/>
  <c r="H109" a="1"/>
  <c r="H109" s="1"/>
  <c r="R108"/>
  <c r="I108" a="1"/>
  <c r="I108" s="1"/>
  <c r="H108" a="1"/>
  <c r="H108" s="1"/>
  <c r="R107"/>
  <c r="I107" a="1"/>
  <c r="I107" s="1"/>
  <c r="H107" a="1"/>
  <c r="H107" s="1"/>
  <c r="R106"/>
  <c r="I106" a="1"/>
  <c r="I106" s="1"/>
  <c r="H106" a="1"/>
  <c r="H106" s="1"/>
  <c r="R105"/>
  <c r="I105" a="1"/>
  <c r="I105" s="1"/>
  <c r="H105" a="1"/>
  <c r="H105" s="1"/>
  <c r="R104"/>
  <c r="I104" a="1"/>
  <c r="I104" s="1"/>
  <c r="H104" a="1"/>
  <c r="H104" s="1"/>
  <c r="R103"/>
  <c r="I103" a="1"/>
  <c r="I103" s="1"/>
  <c r="H103" a="1"/>
  <c r="H103" s="1"/>
  <c r="Q103" s="1"/>
  <c r="R102"/>
  <c r="I102" a="1"/>
  <c r="I102" s="1"/>
  <c r="H102" a="1"/>
  <c r="H102" s="1"/>
  <c r="S102" s="1"/>
  <c r="R101"/>
  <c r="I101" a="1"/>
  <c r="I101" s="1"/>
  <c r="H101" a="1"/>
  <c r="H101" s="1"/>
  <c r="Q101" s="1"/>
  <c r="R100"/>
  <c r="I100" a="1"/>
  <c r="I100" s="1"/>
  <c r="H100" a="1"/>
  <c r="H100" s="1"/>
  <c r="R99"/>
  <c r="I99" a="1"/>
  <c r="I99" s="1"/>
  <c r="H99" a="1"/>
  <c r="H99" s="1"/>
  <c r="Q99" s="1"/>
  <c r="R98"/>
  <c r="I98" a="1"/>
  <c r="I98" s="1"/>
  <c r="H98" a="1"/>
  <c r="H98" s="1"/>
  <c r="Q98" s="1"/>
  <c r="R97"/>
  <c r="I97" a="1"/>
  <c r="I97" s="1"/>
  <c r="H97" a="1"/>
  <c r="H97" s="1"/>
  <c r="Q97" s="1"/>
  <c r="R96"/>
  <c r="I96" a="1"/>
  <c r="I96" s="1"/>
  <c r="H96" a="1"/>
  <c r="H96" s="1"/>
  <c r="Q96" s="1"/>
  <c r="R95"/>
  <c r="I95" a="1"/>
  <c r="I95" s="1"/>
  <c r="H95" a="1"/>
  <c r="H95" s="1"/>
  <c r="Q95" s="1"/>
  <c r="R94"/>
  <c r="I94" a="1"/>
  <c r="I94" s="1"/>
  <c r="H94" a="1"/>
  <c r="H94" s="1"/>
  <c r="Q94" s="1"/>
  <c r="R93"/>
  <c r="I93" a="1"/>
  <c r="I93" s="1"/>
  <c r="H93" a="1"/>
  <c r="H93" s="1"/>
  <c r="Q93" s="1"/>
  <c r="R92"/>
  <c r="I92" a="1"/>
  <c r="I92" s="1"/>
  <c r="H92" a="1"/>
  <c r="H92" s="1"/>
  <c r="Q92" s="1"/>
  <c r="R91"/>
  <c r="I91" a="1"/>
  <c r="I91" s="1"/>
  <c r="H91" a="1"/>
  <c r="H91" s="1"/>
  <c r="Q91" s="1"/>
  <c r="S90"/>
  <c r="I90" a="1"/>
  <c r="I90" s="1"/>
  <c r="H90" a="1"/>
  <c r="H90" s="1"/>
  <c r="Q90" s="1"/>
  <c r="S89"/>
  <c r="I89" a="1"/>
  <c r="I89" s="1"/>
  <c r="H89" a="1"/>
  <c r="H89" s="1"/>
  <c r="Q89" s="1"/>
  <c r="S88"/>
  <c r="I88" a="1"/>
  <c r="I88" s="1"/>
  <c r="H88" a="1"/>
  <c r="H88" s="1"/>
  <c r="Q88" s="1"/>
  <c r="S87"/>
  <c r="I87" a="1"/>
  <c r="I87" s="1"/>
  <c r="H87" a="1"/>
  <c r="H87" s="1"/>
  <c r="Q87" s="1"/>
  <c r="S86"/>
  <c r="I86" a="1"/>
  <c r="I86" s="1"/>
  <c r="H86" a="1"/>
  <c r="H86" s="1"/>
  <c r="Q86" s="1"/>
  <c r="S85"/>
  <c r="I85" a="1"/>
  <c r="I85" s="1"/>
  <c r="H85" a="1"/>
  <c r="H85" s="1"/>
  <c r="Q85" s="1"/>
  <c r="S84"/>
  <c r="I84" a="1"/>
  <c r="I84" s="1"/>
  <c r="H84" a="1"/>
  <c r="H84" s="1"/>
  <c r="Q84" s="1"/>
  <c r="S83"/>
  <c r="I83" a="1"/>
  <c r="I83" s="1"/>
  <c r="H83" a="1"/>
  <c r="H83" s="1"/>
  <c r="Q83" s="1"/>
  <c r="S82"/>
  <c r="I82" a="1"/>
  <c r="I82" s="1"/>
  <c r="H82" a="1"/>
  <c r="H82" s="1"/>
  <c r="Q82" s="1"/>
  <c r="S81"/>
  <c r="I81" a="1"/>
  <c r="I81" s="1"/>
  <c r="H81" a="1"/>
  <c r="H81" s="1"/>
  <c r="Q81" s="1"/>
  <c r="S80"/>
  <c r="I80" a="1"/>
  <c r="I80" s="1"/>
  <c r="H80" a="1"/>
  <c r="H80" s="1"/>
  <c r="Q80" s="1"/>
  <c r="S79"/>
  <c r="I79" a="1"/>
  <c r="I79" s="1"/>
  <c r="H79" a="1"/>
  <c r="H79" s="1"/>
  <c r="Q79" s="1"/>
  <c r="S78"/>
  <c r="I78" a="1"/>
  <c r="I78" s="1"/>
  <c r="H78" a="1"/>
  <c r="H78" s="1"/>
  <c r="Q78" s="1"/>
  <c r="S77"/>
  <c r="I77" a="1"/>
  <c r="I77" s="1"/>
  <c r="H77" a="1"/>
  <c r="H77" s="1"/>
  <c r="Q77" s="1"/>
  <c r="S76"/>
  <c r="I76" a="1"/>
  <c r="I76" s="1"/>
  <c r="H76" a="1"/>
  <c r="H76" s="1"/>
  <c r="Q76" s="1"/>
  <c r="S75"/>
  <c r="I75" a="1"/>
  <c r="I75" s="1"/>
  <c r="H75" a="1"/>
  <c r="H75" s="1"/>
  <c r="Q75" s="1"/>
  <c r="S74"/>
  <c r="I74" a="1"/>
  <c r="I74" s="1"/>
  <c r="H74" a="1"/>
  <c r="H74" s="1"/>
  <c r="Q74" s="1"/>
  <c r="S73"/>
  <c r="I73" a="1"/>
  <c r="I73" s="1"/>
  <c r="H73" a="1"/>
  <c r="H73" s="1"/>
  <c r="Q73" s="1"/>
  <c r="S72"/>
  <c r="I72" a="1"/>
  <c r="I72" s="1"/>
  <c r="H72" a="1"/>
  <c r="H72" s="1"/>
  <c r="Q72" s="1"/>
  <c r="S71"/>
  <c r="R71"/>
  <c r="I71"/>
  <c r="I71" a="1"/>
  <c r="H71"/>
  <c r="H71" a="1"/>
  <c r="R70"/>
  <c r="Q70"/>
  <c r="I70" a="1"/>
  <c r="I70" s="1"/>
  <c r="H70" a="1"/>
  <c r="H70" s="1"/>
  <c r="R69"/>
  <c r="I69" a="1"/>
  <c r="I69" s="1"/>
  <c r="H69" a="1"/>
  <c r="H69" s="1"/>
  <c r="Q69" s="1"/>
  <c r="R68"/>
  <c r="I68" a="1"/>
  <c r="I68" s="1"/>
  <c r="H68" a="1"/>
  <c r="H68" s="1"/>
  <c r="Q68" s="1"/>
  <c r="R67"/>
  <c r="I67" a="1"/>
  <c r="I67" s="1"/>
  <c r="H67" a="1"/>
  <c r="H67" s="1"/>
  <c r="Q67" s="1"/>
  <c r="R66"/>
  <c r="I66" a="1"/>
  <c r="I66" s="1"/>
  <c r="H66" a="1"/>
  <c r="H66" s="1"/>
  <c r="Q66" s="1"/>
  <c r="S65"/>
  <c r="I65" a="1"/>
  <c r="I65" s="1"/>
  <c r="H65" a="1"/>
  <c r="H65" s="1"/>
  <c r="Q65" s="1"/>
  <c r="R64"/>
  <c r="I64" a="1"/>
  <c r="I64" s="1"/>
  <c r="H64" a="1"/>
  <c r="H64" s="1"/>
  <c r="Q64" s="1"/>
  <c r="S63"/>
  <c r="I63" a="1"/>
  <c r="I63" s="1"/>
  <c r="H63" a="1"/>
  <c r="H63" s="1"/>
  <c r="Q63" s="1"/>
  <c r="R62"/>
  <c r="I62" a="1"/>
  <c r="I62" s="1"/>
  <c r="H62" a="1"/>
  <c r="H62" s="1"/>
  <c r="Q62" s="1"/>
  <c r="R61"/>
  <c r="Q61"/>
  <c r="I61" a="1"/>
  <c r="I61" s="1"/>
  <c r="H61" a="1"/>
  <c r="H61" s="1"/>
  <c r="R60"/>
  <c r="I60" a="1"/>
  <c r="I60" s="1"/>
  <c r="H60" a="1"/>
  <c r="H60" s="1"/>
  <c r="Q60" s="1"/>
  <c r="R59"/>
  <c r="I59" a="1"/>
  <c r="I59" s="1"/>
  <c r="H59" a="1"/>
  <c r="H59" s="1"/>
  <c r="Q59" s="1"/>
  <c r="R58"/>
  <c r="I58" a="1"/>
  <c r="I58" s="1"/>
  <c r="H58" a="1"/>
  <c r="H58" s="1"/>
  <c r="Q58" s="1"/>
  <c r="R57"/>
  <c r="I57" a="1"/>
  <c r="I57" s="1"/>
  <c r="H57" a="1"/>
  <c r="H57" s="1"/>
  <c r="Q57" s="1"/>
  <c r="S56"/>
  <c r="I56" a="1"/>
  <c r="I56" s="1"/>
  <c r="H56" a="1"/>
  <c r="H56" s="1"/>
  <c r="Q56" s="1"/>
  <c r="S55"/>
  <c r="I55" a="1"/>
  <c r="I55" s="1"/>
  <c r="H55" a="1"/>
  <c r="H55" s="1"/>
  <c r="Q55" s="1"/>
  <c r="S54"/>
  <c r="Q54"/>
  <c r="I54" a="1"/>
  <c r="I54" s="1"/>
  <c r="H54" a="1"/>
  <c r="H54" s="1"/>
  <c r="S53"/>
  <c r="I53" a="1"/>
  <c r="I53" s="1"/>
  <c r="H53" a="1"/>
  <c r="H53" s="1"/>
  <c r="Q53" s="1"/>
  <c r="S52"/>
  <c r="I52" a="1"/>
  <c r="I52" s="1"/>
  <c r="H52" a="1"/>
  <c r="H52" s="1"/>
  <c r="Q52" s="1"/>
  <c r="S51"/>
  <c r="I51" a="1"/>
  <c r="I51" s="1"/>
  <c r="H51" a="1"/>
  <c r="H51" s="1"/>
  <c r="Q51" s="1"/>
  <c r="S50"/>
  <c r="I50" a="1"/>
  <c r="I50" s="1"/>
  <c r="H50" a="1"/>
  <c r="H50" s="1"/>
  <c r="Q50" s="1"/>
  <c r="S49"/>
  <c r="I49" a="1"/>
  <c r="I49" s="1"/>
  <c r="H49" a="1"/>
  <c r="H49" s="1"/>
  <c r="Q49" s="1"/>
  <c r="S48"/>
  <c r="I48" a="1"/>
  <c r="I48" s="1"/>
  <c r="H48" a="1"/>
  <c r="H48" s="1"/>
  <c r="Q48" s="1"/>
  <c r="S47"/>
  <c r="I47" a="1"/>
  <c r="I47" s="1"/>
  <c r="H47" a="1"/>
  <c r="H47" s="1"/>
  <c r="Q47" s="1"/>
  <c r="S46"/>
  <c r="Q46"/>
  <c r="I46" a="1"/>
  <c r="I46" s="1"/>
  <c r="H46" a="1"/>
  <c r="H46" s="1"/>
  <c r="S45"/>
  <c r="I45" a="1"/>
  <c r="I45" s="1"/>
  <c r="H45" a="1"/>
  <c r="H45" s="1"/>
  <c r="Q45" s="1"/>
  <c r="S44"/>
  <c r="I44" a="1"/>
  <c r="I44" s="1"/>
  <c r="H44" a="1"/>
  <c r="H44" s="1"/>
  <c r="Q44" s="1"/>
  <c r="S43"/>
  <c r="I43" a="1"/>
  <c r="I43" s="1"/>
  <c r="H43" a="1"/>
  <c r="H43" s="1"/>
  <c r="Q43" s="1"/>
  <c r="S42"/>
  <c r="I42" a="1"/>
  <c r="I42" s="1"/>
  <c r="H42" a="1"/>
  <c r="H42" s="1"/>
  <c r="Q42" s="1"/>
  <c r="S41"/>
  <c r="I41" a="1"/>
  <c r="I41" s="1"/>
  <c r="H41" a="1"/>
  <c r="H41" s="1"/>
  <c r="S40"/>
  <c r="I40"/>
  <c r="I40" a="1"/>
  <c r="H40" a="1"/>
  <c r="H40" s="1"/>
  <c r="Q40" s="1"/>
  <c r="S39"/>
  <c r="I39" a="1"/>
  <c r="I39" s="1"/>
  <c r="H39" a="1"/>
  <c r="H39" s="1"/>
  <c r="S38"/>
  <c r="I38"/>
  <c r="I38" a="1"/>
  <c r="H38" a="1"/>
  <c r="H38" s="1"/>
  <c r="Q38" s="1"/>
  <c r="S37"/>
  <c r="I37" a="1"/>
  <c r="I37" s="1"/>
  <c r="H37"/>
  <c r="Q37" s="1"/>
  <c r="H37" a="1"/>
  <c r="S36"/>
  <c r="I36" a="1"/>
  <c r="I36" s="1"/>
  <c r="H36" a="1"/>
  <c r="H36" s="1"/>
  <c r="S35"/>
  <c r="I35" a="1"/>
  <c r="I35" s="1"/>
  <c r="H35"/>
  <c r="H35" a="1"/>
  <c r="S34"/>
  <c r="I34" a="1"/>
  <c r="I34" s="1"/>
  <c r="H34" a="1"/>
  <c r="H34" s="1"/>
  <c r="S33"/>
  <c r="I33" a="1"/>
  <c r="I33" s="1"/>
  <c r="H33" a="1"/>
  <c r="H33" s="1"/>
  <c r="S32"/>
  <c r="I32"/>
  <c r="I32" a="1"/>
  <c r="H32" a="1"/>
  <c r="H32" s="1"/>
  <c r="Q32" s="1"/>
  <c r="S31"/>
  <c r="I31" a="1"/>
  <c r="I31" s="1"/>
  <c r="H31" a="1"/>
  <c r="H31" s="1"/>
  <c r="S30"/>
  <c r="R30"/>
  <c r="I30"/>
  <c r="I30" a="1"/>
  <c r="H30"/>
  <c r="H30" a="1"/>
  <c r="S29"/>
  <c r="I29" a="1"/>
  <c r="I29" s="1"/>
  <c r="H29"/>
  <c r="H29" a="1"/>
  <c r="S28"/>
  <c r="I28" a="1"/>
  <c r="I28" s="1"/>
  <c r="H28" a="1"/>
  <c r="H28" s="1"/>
  <c r="S27"/>
  <c r="I27" a="1"/>
  <c r="I27" s="1"/>
  <c r="H27" a="1"/>
  <c r="H27" s="1"/>
  <c r="S26"/>
  <c r="I26"/>
  <c r="I26" a="1"/>
  <c r="H26" a="1"/>
  <c r="H26" s="1"/>
  <c r="R26" s="1"/>
  <c r="S25"/>
  <c r="I25" a="1"/>
  <c r="I25" s="1"/>
  <c r="H25"/>
  <c r="R25" s="1"/>
  <c r="H25" a="1"/>
  <c r="S24"/>
  <c r="I24"/>
  <c r="I24" a="1"/>
  <c r="H24" a="1"/>
  <c r="H24" s="1"/>
  <c r="S23"/>
  <c r="I23" a="1"/>
  <c r="I23" s="1"/>
  <c r="H23"/>
  <c r="R23" s="1"/>
  <c r="H23" a="1"/>
  <c r="S22"/>
  <c r="I22"/>
  <c r="I22" a="1"/>
  <c r="H22" a="1"/>
  <c r="H22" s="1"/>
  <c r="S21"/>
  <c r="I21" a="1"/>
  <c r="I21" s="1"/>
  <c r="H21"/>
  <c r="R21" s="1"/>
  <c r="H21" a="1"/>
  <c r="S20"/>
  <c r="I20" a="1"/>
  <c r="I20" s="1"/>
  <c r="H20" a="1"/>
  <c r="H20" s="1"/>
  <c r="S19"/>
  <c r="I19" a="1"/>
  <c r="I19" s="1"/>
  <c r="H19" a="1"/>
  <c r="H19" s="1"/>
  <c r="S18"/>
  <c r="I18" a="1"/>
  <c r="I18" s="1"/>
  <c r="H18" a="1"/>
  <c r="H18" s="1"/>
  <c r="S17"/>
  <c r="I17" a="1"/>
  <c r="I17" s="1"/>
  <c r="H17" a="1"/>
  <c r="H17" s="1"/>
  <c r="S16"/>
  <c r="I16" a="1"/>
  <c r="I16" s="1"/>
  <c r="H16" a="1"/>
  <c r="H16" s="1"/>
  <c r="S15"/>
  <c r="I15" a="1"/>
  <c r="I15" s="1"/>
  <c r="H15" a="1"/>
  <c r="H15" s="1"/>
  <c r="S14"/>
  <c r="I14" a="1"/>
  <c r="I14" s="1"/>
  <c r="H14" a="1"/>
  <c r="H14" s="1"/>
  <c r="S13"/>
  <c r="I13" a="1"/>
  <c r="I13" s="1"/>
  <c r="H13" a="1"/>
  <c r="H13" s="1"/>
  <c r="S12"/>
  <c r="I12" a="1"/>
  <c r="I12" s="1"/>
  <c r="H12" a="1"/>
  <c r="H12" s="1"/>
  <c r="S11"/>
  <c r="I11" a="1"/>
  <c r="I11" s="1"/>
  <c r="H11" a="1"/>
  <c r="H11" s="1"/>
  <c r="S10"/>
  <c r="I10" a="1"/>
  <c r="I10" s="1"/>
  <c r="H10" a="1"/>
  <c r="H10" s="1"/>
  <c r="S9"/>
  <c r="I9" a="1"/>
  <c r="I9" s="1"/>
  <c r="H9" a="1"/>
  <c r="H9" s="1"/>
  <c r="S8"/>
  <c r="I8" a="1"/>
  <c r="I8" s="1"/>
  <c r="H8" a="1"/>
  <c r="H8" s="1"/>
  <c r="S7"/>
  <c r="R7"/>
  <c r="I7"/>
  <c r="I7" a="1"/>
  <c r="H7"/>
  <c r="H7" a="1"/>
  <c r="I6"/>
  <c r="I6" a="1"/>
  <c r="H6"/>
  <c r="H6" a="1"/>
  <c r="E9" i="21" l="1"/>
  <c r="B41"/>
  <c r="K41" s="1"/>
  <c r="K9"/>
  <c r="E40"/>
  <c r="H40" s="1"/>
  <c r="K40"/>
  <c r="K38"/>
  <c r="E38"/>
  <c r="H38" s="1"/>
  <c r="K36"/>
  <c r="E36"/>
  <c r="H36" s="1"/>
  <c r="E34"/>
  <c r="H34" s="1"/>
  <c r="K34"/>
  <c r="K32"/>
  <c r="E32"/>
  <c r="H32" s="1"/>
  <c r="K30"/>
  <c r="E30"/>
  <c r="H30" s="1"/>
  <c r="E28"/>
  <c r="H28" s="1"/>
  <c r="K28"/>
  <c r="E26"/>
  <c r="H26" s="1"/>
  <c r="K26"/>
  <c r="E24"/>
  <c r="H24" s="1"/>
  <c r="K24"/>
  <c r="E22"/>
  <c r="H22" s="1"/>
  <c r="K22"/>
  <c r="E20"/>
  <c r="H20" s="1"/>
  <c r="K20"/>
  <c r="E18"/>
  <c r="H18" s="1"/>
  <c r="K18"/>
  <c r="K16"/>
  <c r="E16"/>
  <c r="H16" s="1"/>
  <c r="E14"/>
  <c r="H14" s="1"/>
  <c r="K14"/>
  <c r="E12"/>
  <c r="H12" s="1"/>
  <c r="K12"/>
  <c r="K10"/>
  <c r="E10"/>
  <c r="H10" s="1"/>
  <c r="C41"/>
  <c r="P35" i="25"/>
  <c r="P33"/>
  <c r="P31"/>
  <c r="P29"/>
  <c r="P27"/>
  <c r="P25"/>
  <c r="P23"/>
  <c r="P21"/>
  <c r="P19"/>
  <c r="P17"/>
  <c r="P15"/>
  <c r="P13"/>
  <c r="P11"/>
  <c r="P9"/>
  <c r="P7"/>
  <c r="M37"/>
  <c r="P5"/>
  <c r="K39" i="21"/>
  <c r="E39"/>
  <c r="H39" s="1"/>
  <c r="E35"/>
  <c r="H35" s="1"/>
  <c r="K35"/>
  <c r="K31"/>
  <c r="E31"/>
  <c r="H31" s="1"/>
  <c r="E27"/>
  <c r="H27" s="1"/>
  <c r="K27"/>
  <c r="K25"/>
  <c r="E25"/>
  <c r="E23"/>
  <c r="H23" s="1"/>
  <c r="K23"/>
  <c r="E21"/>
  <c r="H21" s="1"/>
  <c r="K21"/>
  <c r="E19"/>
  <c r="H19" s="1"/>
  <c r="K19"/>
  <c r="K17"/>
  <c r="E17"/>
  <c r="H17" s="1"/>
  <c r="E15"/>
  <c r="H15" s="1"/>
  <c r="K15"/>
  <c r="E13"/>
  <c r="H13" s="1"/>
  <c r="K13"/>
  <c r="K11"/>
  <c r="E11"/>
  <c r="H11" s="1"/>
  <c r="P36" i="25"/>
  <c r="P34"/>
  <c r="P32"/>
  <c r="P30"/>
  <c r="P28"/>
  <c r="P26"/>
  <c r="P24"/>
  <c r="P22"/>
  <c r="P20"/>
  <c r="P18"/>
  <c r="P16"/>
  <c r="P14"/>
  <c r="P12"/>
  <c r="P10"/>
  <c r="P8"/>
  <c r="P6"/>
  <c r="C5"/>
  <c r="D7" i="13"/>
  <c r="C35" i="25"/>
  <c r="H35" s="1"/>
  <c r="D35" i="13"/>
  <c r="C33" i="25"/>
  <c r="H33" s="1"/>
  <c r="D34" i="13"/>
  <c r="C31" i="25"/>
  <c r="H31" s="1"/>
  <c r="D33" i="13"/>
  <c r="C29" i="25"/>
  <c r="H29" s="1"/>
  <c r="D31" i="13"/>
  <c r="C27" i="25"/>
  <c r="H27" s="1"/>
  <c r="D30" i="13"/>
  <c r="C25" i="25"/>
  <c r="H25" s="1"/>
  <c r="D21" i="13"/>
  <c r="C23" i="25"/>
  <c r="H23" s="1"/>
  <c r="D27" i="13"/>
  <c r="C21" i="25"/>
  <c r="H21" s="1"/>
  <c r="D26" i="13"/>
  <c r="C19" i="25"/>
  <c r="H19" s="1"/>
  <c r="D14" i="13"/>
  <c r="C17" i="25"/>
  <c r="H17" s="1"/>
  <c r="D18" i="13"/>
  <c r="C15" i="25"/>
  <c r="H15" s="1"/>
  <c r="D13" i="13"/>
  <c r="C13" i="25"/>
  <c r="H13" s="1"/>
  <c r="D15" i="13"/>
  <c r="C11" i="25"/>
  <c r="H11" s="1"/>
  <c r="D11" i="13"/>
  <c r="C9" i="25"/>
  <c r="H9" s="1"/>
  <c r="D6" i="13"/>
  <c r="C7" i="25"/>
  <c r="H7" s="1"/>
  <c r="D5" i="13"/>
  <c r="E5" i="25"/>
  <c r="F7" i="13"/>
  <c r="F5" i="25"/>
  <c r="G7" i="13"/>
  <c r="F36" i="25"/>
  <c r="G36" i="13"/>
  <c r="E36" i="25"/>
  <c r="F36" i="13"/>
  <c r="D35" i="25"/>
  <c r="E35" i="13"/>
  <c r="F34" i="25"/>
  <c r="G24" i="13"/>
  <c r="E34" i="25"/>
  <c r="F24" i="13"/>
  <c r="D33" i="25"/>
  <c r="E34" i="13"/>
  <c r="F32" i="25"/>
  <c r="G23" i="13"/>
  <c r="E32" i="25"/>
  <c r="F23" i="13"/>
  <c r="D31" i="25"/>
  <c r="E33" i="13"/>
  <c r="F30" i="25"/>
  <c r="G32" i="13"/>
  <c r="E30" i="25"/>
  <c r="F32" i="13"/>
  <c r="D29" i="25"/>
  <c r="E31" i="13"/>
  <c r="F28" i="25"/>
  <c r="G22" i="13"/>
  <c r="E28" i="25"/>
  <c r="F22" i="13"/>
  <c r="D27" i="25"/>
  <c r="E30" i="13"/>
  <c r="F26" i="25"/>
  <c r="G29" i="13"/>
  <c r="E26" i="25"/>
  <c r="F29" i="13"/>
  <c r="D25" i="25"/>
  <c r="E21" i="13"/>
  <c r="F24" i="25"/>
  <c r="G28" i="13"/>
  <c r="E24" i="25"/>
  <c r="F28" i="13"/>
  <c r="D23" i="25"/>
  <c r="E27" i="13"/>
  <c r="F22" i="25"/>
  <c r="G25" i="13"/>
  <c r="E22" i="25"/>
  <c r="F25" i="13"/>
  <c r="D21" i="25"/>
  <c r="E26" i="13"/>
  <c r="F20" i="25"/>
  <c r="G19" i="13"/>
  <c r="E20" i="25"/>
  <c r="F19" i="13"/>
  <c r="D19" i="25"/>
  <c r="E14" i="13"/>
  <c r="F18" i="25"/>
  <c r="G16" i="13"/>
  <c r="E18" i="25"/>
  <c r="F16" i="13"/>
  <c r="D17" i="25"/>
  <c r="E18" i="13"/>
  <c r="F16" i="25"/>
  <c r="G12" i="13"/>
  <c r="E16" i="25"/>
  <c r="F12" i="13"/>
  <c r="D15" i="25"/>
  <c r="E13" i="13"/>
  <c r="F14" i="25"/>
  <c r="G20" i="13"/>
  <c r="E14" i="25"/>
  <c r="F20" i="13"/>
  <c r="D13" i="25"/>
  <c r="E15" i="13"/>
  <c r="F12" i="25"/>
  <c r="G17" i="13"/>
  <c r="E12" i="25"/>
  <c r="F17" i="13"/>
  <c r="D11" i="25"/>
  <c r="E11" i="13"/>
  <c r="F10" i="25"/>
  <c r="G10" i="13"/>
  <c r="E10" i="25"/>
  <c r="F10" i="13"/>
  <c r="D9" i="25"/>
  <c r="E6" i="13"/>
  <c r="F8" i="25"/>
  <c r="G9" i="13"/>
  <c r="E8" i="25"/>
  <c r="F9" i="13"/>
  <c r="D7" i="25"/>
  <c r="E5" i="13"/>
  <c r="F6" i="25"/>
  <c r="G8" i="13"/>
  <c r="E6" i="25"/>
  <c r="F8" i="13"/>
  <c r="C36" i="25"/>
  <c r="H36" s="1"/>
  <c r="D36" i="13"/>
  <c r="C34" i="25"/>
  <c r="H34" s="1"/>
  <c r="D24" i="13"/>
  <c r="C32" i="25"/>
  <c r="H32" s="1"/>
  <c r="D23" i="13"/>
  <c r="C30" i="25"/>
  <c r="H30" s="1"/>
  <c r="D32" i="13"/>
  <c r="C28" i="25"/>
  <c r="H28" s="1"/>
  <c r="D22" i="13"/>
  <c r="C26" i="25"/>
  <c r="H26" s="1"/>
  <c r="D29" i="13"/>
  <c r="C24" i="25"/>
  <c r="H24" s="1"/>
  <c r="D28" i="13"/>
  <c r="C22" i="25"/>
  <c r="H22" s="1"/>
  <c r="D25" i="13"/>
  <c r="C20" i="25"/>
  <c r="H20" s="1"/>
  <c r="D19" i="13"/>
  <c r="C18" i="25"/>
  <c r="H18" s="1"/>
  <c r="D16" i="13"/>
  <c r="C16" i="25"/>
  <c r="H16" s="1"/>
  <c r="D12" i="13"/>
  <c r="C14" i="25"/>
  <c r="H14" s="1"/>
  <c r="D20" i="13"/>
  <c r="C12" i="25"/>
  <c r="H12" s="1"/>
  <c r="D17" i="13"/>
  <c r="C10" i="25"/>
  <c r="H10" s="1"/>
  <c r="D10" i="13"/>
  <c r="C8" i="25"/>
  <c r="H8" s="1"/>
  <c r="D9" i="13"/>
  <c r="C6" i="25"/>
  <c r="H6" s="1"/>
  <c r="D8" i="13"/>
  <c r="D5" i="25"/>
  <c r="E7" i="13"/>
  <c r="D36" i="25"/>
  <c r="E36" i="13"/>
  <c r="F35" i="25"/>
  <c r="G35" i="13"/>
  <c r="E35" i="25"/>
  <c r="F35" i="13"/>
  <c r="D34" i="25"/>
  <c r="E24" i="13"/>
  <c r="F33" i="25"/>
  <c r="G34" i="13"/>
  <c r="E33" i="25"/>
  <c r="F34" i="13"/>
  <c r="D32" i="25"/>
  <c r="E23" i="13"/>
  <c r="F31" i="25"/>
  <c r="G33" i="13"/>
  <c r="E31" i="25"/>
  <c r="F33" i="13"/>
  <c r="D30" i="25"/>
  <c r="E32" i="13"/>
  <c r="F29" i="25"/>
  <c r="G31" i="13"/>
  <c r="E29" i="25"/>
  <c r="F31" i="13"/>
  <c r="D28" i="25"/>
  <c r="E22" i="13"/>
  <c r="F27" i="25"/>
  <c r="G30" i="13"/>
  <c r="E27" i="25"/>
  <c r="F30" i="13"/>
  <c r="D26" i="25"/>
  <c r="E29" i="13"/>
  <c r="F25" i="25"/>
  <c r="G21" i="13"/>
  <c r="E25" i="25"/>
  <c r="F21" i="13"/>
  <c r="D24" i="25"/>
  <c r="E28" i="13"/>
  <c r="F23" i="25"/>
  <c r="G27" i="13"/>
  <c r="E23" i="25"/>
  <c r="F27" i="13"/>
  <c r="D22" i="25"/>
  <c r="E25" i="13"/>
  <c r="F21" i="25"/>
  <c r="G26" i="13"/>
  <c r="E21" i="25"/>
  <c r="F26" i="13"/>
  <c r="D20" i="25"/>
  <c r="E19" i="13"/>
  <c r="F19" i="25"/>
  <c r="G14" i="13"/>
  <c r="E19" i="25"/>
  <c r="F14" i="13"/>
  <c r="D18" i="25"/>
  <c r="E16" i="13"/>
  <c r="F17" i="25"/>
  <c r="G18" i="13"/>
  <c r="E17" i="25"/>
  <c r="F18" i="13"/>
  <c r="D16" i="25"/>
  <c r="E12" i="13"/>
  <c r="F15" i="25"/>
  <c r="G13" i="13"/>
  <c r="E15" i="25"/>
  <c r="F13" i="13"/>
  <c r="D14" i="25"/>
  <c r="E20" i="13"/>
  <c r="F13" i="25"/>
  <c r="G15" i="13"/>
  <c r="E13" i="25"/>
  <c r="F15" i="13"/>
  <c r="D12" i="25"/>
  <c r="E17" i="13"/>
  <c r="F11" i="25"/>
  <c r="G11" i="13"/>
  <c r="E11" i="25"/>
  <c r="F11" i="13"/>
  <c r="D10" i="25"/>
  <c r="E10" i="13"/>
  <c r="F9" i="25"/>
  <c r="G6" i="13"/>
  <c r="E9" i="25"/>
  <c r="F6" i="13"/>
  <c r="D8" i="25"/>
  <c r="E9" i="13"/>
  <c r="F7" i="25"/>
  <c r="G5" i="13"/>
  <c r="E7" i="25"/>
  <c r="F5" i="13"/>
  <c r="D6" i="25"/>
  <c r="E8" i="13"/>
  <c r="J37" i="25"/>
  <c r="Q26" i="8"/>
  <c r="G16"/>
  <c r="Q16"/>
  <c r="R16"/>
  <c r="G33"/>
  <c r="R33"/>
  <c r="Q33"/>
  <c r="R17"/>
  <c r="G17"/>
  <c r="Q17"/>
  <c r="G39"/>
  <c r="Q39"/>
  <c r="R39"/>
  <c r="G41"/>
  <c r="R41"/>
  <c r="Q41"/>
  <c r="G26"/>
  <c r="G8"/>
  <c r="Q8"/>
  <c r="R8"/>
  <c r="G12"/>
  <c r="R12"/>
  <c r="Q12"/>
  <c r="G20"/>
  <c r="Q20"/>
  <c r="R20"/>
  <c r="G27"/>
  <c r="R27"/>
  <c r="Q27"/>
  <c r="G31"/>
  <c r="G40"/>
  <c r="G32"/>
  <c r="Q31"/>
  <c r="G38"/>
  <c r="R31"/>
  <c r="R9"/>
  <c r="G9"/>
  <c r="Q9"/>
  <c r="R13"/>
  <c r="G13"/>
  <c r="Q13"/>
  <c r="G22"/>
  <c r="Q22"/>
  <c r="R22"/>
  <c r="G24"/>
  <c r="Q24"/>
  <c r="R24"/>
  <c r="G10"/>
  <c r="Q10"/>
  <c r="R10"/>
  <c r="G14"/>
  <c r="R14"/>
  <c r="Q14"/>
  <c r="G18"/>
  <c r="Q18"/>
  <c r="R18"/>
  <c r="R11"/>
  <c r="G11"/>
  <c r="Q11"/>
  <c r="R15"/>
  <c r="G15"/>
  <c r="Q15"/>
  <c r="R19"/>
  <c r="G19"/>
  <c r="Q19"/>
  <c r="R36"/>
  <c r="G42"/>
  <c r="R42"/>
  <c r="G46"/>
  <c r="R46"/>
  <c r="G50"/>
  <c r="R50"/>
  <c r="G54"/>
  <c r="R54"/>
  <c r="G64"/>
  <c r="R73"/>
  <c r="G73"/>
  <c r="R77"/>
  <c r="G77"/>
  <c r="R81"/>
  <c r="G81"/>
  <c r="R85"/>
  <c r="G85"/>
  <c r="R89"/>
  <c r="G89"/>
  <c r="G92"/>
  <c r="G94"/>
  <c r="G96"/>
  <c r="G98"/>
  <c r="G100"/>
  <c r="Q100"/>
  <c r="S101"/>
  <c r="G101"/>
  <c r="S106"/>
  <c r="G106"/>
  <c r="Q106"/>
  <c r="Q113"/>
  <c r="R113"/>
  <c r="G113"/>
  <c r="Q21"/>
  <c r="Q23"/>
  <c r="Q25"/>
  <c r="G28"/>
  <c r="Q28"/>
  <c r="R29"/>
  <c r="G34"/>
  <c r="Q34"/>
  <c r="R35"/>
  <c r="G37"/>
  <c r="S64"/>
  <c r="S92"/>
  <c r="S94"/>
  <c r="S96"/>
  <c r="S98"/>
  <c r="R38"/>
  <c r="R45"/>
  <c r="G45"/>
  <c r="R49"/>
  <c r="G49"/>
  <c r="R53"/>
  <c r="G53"/>
  <c r="G57"/>
  <c r="G59"/>
  <c r="G61"/>
  <c r="R63"/>
  <c r="G63"/>
  <c r="G66"/>
  <c r="G68"/>
  <c r="G70"/>
  <c r="G72"/>
  <c r="R72"/>
  <c r="G76"/>
  <c r="R76"/>
  <c r="G80"/>
  <c r="R80"/>
  <c r="G84"/>
  <c r="R84"/>
  <c r="G88"/>
  <c r="R88"/>
  <c r="Q107"/>
  <c r="S107"/>
  <c r="G107"/>
  <c r="G114"/>
  <c r="Q114"/>
  <c r="R114"/>
  <c r="G21"/>
  <c r="G23"/>
  <c r="G25"/>
  <c r="Q29"/>
  <c r="Q35"/>
  <c r="E45" s="1"/>
  <c r="G36"/>
  <c r="Q36"/>
  <c r="R37"/>
  <c r="S57"/>
  <c r="S59"/>
  <c r="S61"/>
  <c r="S66"/>
  <c r="S68"/>
  <c r="S70"/>
  <c r="S100"/>
  <c r="R32"/>
  <c r="R40"/>
  <c r="G44"/>
  <c r="R44"/>
  <c r="G48"/>
  <c r="R48"/>
  <c r="G52"/>
  <c r="R52"/>
  <c r="G56"/>
  <c r="R56"/>
  <c r="R65"/>
  <c r="G65"/>
  <c r="R75"/>
  <c r="G75"/>
  <c r="R79"/>
  <c r="G79"/>
  <c r="R83"/>
  <c r="G83"/>
  <c r="R87"/>
  <c r="G87"/>
  <c r="G91"/>
  <c r="G93"/>
  <c r="G95"/>
  <c r="G97"/>
  <c r="G99"/>
  <c r="S104"/>
  <c r="G104"/>
  <c r="Q104"/>
  <c r="S108"/>
  <c r="G108"/>
  <c r="Q108"/>
  <c r="Q111"/>
  <c r="R111"/>
  <c r="G111"/>
  <c r="R115"/>
  <c r="Q115"/>
  <c r="G115"/>
  <c r="S91"/>
  <c r="S93"/>
  <c r="S95"/>
  <c r="S97"/>
  <c r="S99"/>
  <c r="R28"/>
  <c r="R34"/>
  <c r="R43"/>
  <c r="G43"/>
  <c r="R47"/>
  <c r="G47"/>
  <c r="R51"/>
  <c r="G51"/>
  <c r="R55"/>
  <c r="G55"/>
  <c r="G58"/>
  <c r="G60"/>
  <c r="G62"/>
  <c r="G67"/>
  <c r="G69"/>
  <c r="G74"/>
  <c r="R74"/>
  <c r="G78"/>
  <c r="R78"/>
  <c r="G82"/>
  <c r="R82"/>
  <c r="G86"/>
  <c r="R86"/>
  <c r="G90"/>
  <c r="R90"/>
  <c r="G102"/>
  <c r="Q102"/>
  <c r="E40" s="1"/>
  <c r="S103"/>
  <c r="G103"/>
  <c r="Q105"/>
  <c r="S105"/>
  <c r="G105"/>
  <c r="Q109"/>
  <c r="S109"/>
  <c r="G109"/>
  <c r="G112"/>
  <c r="Q112"/>
  <c r="R112"/>
  <c r="G29"/>
  <c r="G35"/>
  <c r="S58"/>
  <c r="S60"/>
  <c r="S62"/>
  <c r="S67"/>
  <c r="S69"/>
  <c r="G116"/>
  <c r="R116"/>
  <c r="G120"/>
  <c r="R120"/>
  <c r="G124"/>
  <c r="R124"/>
  <c r="R145"/>
  <c r="G145"/>
  <c r="R149"/>
  <c r="G149"/>
  <c r="G152"/>
  <c r="G154"/>
  <c r="G156"/>
  <c r="G158"/>
  <c r="G160"/>
  <c r="G162"/>
  <c r="G164"/>
  <c r="G166"/>
  <c r="G168"/>
  <c r="R173"/>
  <c r="G173"/>
  <c r="R177"/>
  <c r="G177"/>
  <c r="R181"/>
  <c r="G181"/>
  <c r="R205"/>
  <c r="G205"/>
  <c r="G213"/>
  <c r="Q213"/>
  <c r="G214"/>
  <c r="Q214"/>
  <c r="S214"/>
  <c r="R221"/>
  <c r="G221"/>
  <c r="Q221"/>
  <c r="S225"/>
  <c r="G225"/>
  <c r="Q225"/>
  <c r="S229"/>
  <c r="G229"/>
  <c r="Q229"/>
  <c r="S233"/>
  <c r="G233"/>
  <c r="Q233"/>
  <c r="G236"/>
  <c r="Q236"/>
  <c r="S236"/>
  <c r="S152"/>
  <c r="S154"/>
  <c r="S156"/>
  <c r="S158"/>
  <c r="S160"/>
  <c r="S162"/>
  <c r="S164"/>
  <c r="S166"/>
  <c r="S168"/>
  <c r="R119"/>
  <c r="G119"/>
  <c r="R123"/>
  <c r="G123"/>
  <c r="G126"/>
  <c r="G128"/>
  <c r="G130"/>
  <c r="G132"/>
  <c r="G134"/>
  <c r="G136"/>
  <c r="G138"/>
  <c r="G140"/>
  <c r="G142"/>
  <c r="G144"/>
  <c r="R144"/>
  <c r="G148"/>
  <c r="R148"/>
  <c r="G172"/>
  <c r="R172"/>
  <c r="G176"/>
  <c r="R176"/>
  <c r="G180"/>
  <c r="R180"/>
  <c r="G183"/>
  <c r="G185"/>
  <c r="G187"/>
  <c r="G189"/>
  <c r="G191"/>
  <c r="G193"/>
  <c r="G195"/>
  <c r="G197"/>
  <c r="G199"/>
  <c r="G204"/>
  <c r="R204"/>
  <c r="G208"/>
  <c r="G210"/>
  <c r="G212"/>
  <c r="S212"/>
  <c r="S215"/>
  <c r="G215"/>
  <c r="Q215"/>
  <c r="G218"/>
  <c r="Q218"/>
  <c r="R218"/>
  <c r="G222"/>
  <c r="Q222"/>
  <c r="R222"/>
  <c r="G226"/>
  <c r="Q226"/>
  <c r="S226"/>
  <c r="G230"/>
  <c r="Q230"/>
  <c r="S230"/>
  <c r="G234"/>
  <c r="Q234"/>
  <c r="S234"/>
  <c r="S237"/>
  <c r="G237"/>
  <c r="Q237"/>
  <c r="S126"/>
  <c r="S128"/>
  <c r="S130"/>
  <c r="S132"/>
  <c r="S134"/>
  <c r="S136"/>
  <c r="S138"/>
  <c r="S140"/>
  <c r="S142"/>
  <c r="S183"/>
  <c r="S185"/>
  <c r="S187"/>
  <c r="S189"/>
  <c r="S191"/>
  <c r="S193"/>
  <c r="S195"/>
  <c r="S197"/>
  <c r="S199"/>
  <c r="S208"/>
  <c r="S210"/>
  <c r="G118"/>
  <c r="R118"/>
  <c r="G122"/>
  <c r="R122"/>
  <c r="R147"/>
  <c r="G147"/>
  <c r="G151"/>
  <c r="G153"/>
  <c r="G155"/>
  <c r="G157"/>
  <c r="G159"/>
  <c r="G161"/>
  <c r="G163"/>
  <c r="G165"/>
  <c r="G167"/>
  <c r="G169"/>
  <c r="R171"/>
  <c r="G171"/>
  <c r="R175"/>
  <c r="G175"/>
  <c r="R179"/>
  <c r="G179"/>
  <c r="R203"/>
  <c r="G203"/>
  <c r="R207"/>
  <c r="G207"/>
  <c r="G216"/>
  <c r="Q216"/>
  <c r="E171" s="1"/>
  <c r="S216"/>
  <c r="R219"/>
  <c r="G219"/>
  <c r="Q219"/>
  <c r="S223"/>
  <c r="G223"/>
  <c r="Q223"/>
  <c r="S227"/>
  <c r="G227"/>
  <c r="Q227"/>
  <c r="S231"/>
  <c r="G231"/>
  <c r="Q231"/>
  <c r="G238"/>
  <c r="Q238"/>
  <c r="S238"/>
  <c r="S151"/>
  <c r="S153"/>
  <c r="S155"/>
  <c r="S157"/>
  <c r="S159"/>
  <c r="S161"/>
  <c r="S163"/>
  <c r="S165"/>
  <c r="S167"/>
  <c r="S169"/>
  <c r="R117"/>
  <c r="G117"/>
  <c r="R121"/>
  <c r="G121"/>
  <c r="G125"/>
  <c r="G127"/>
  <c r="G129"/>
  <c r="G131"/>
  <c r="G133"/>
  <c r="G135"/>
  <c r="G137"/>
  <c r="G139"/>
  <c r="G141"/>
  <c r="G146"/>
  <c r="R146"/>
  <c r="G150"/>
  <c r="R150"/>
  <c r="G174"/>
  <c r="R174"/>
  <c r="G178"/>
  <c r="R178"/>
  <c r="G182"/>
  <c r="G184"/>
  <c r="G186"/>
  <c r="G188"/>
  <c r="G190"/>
  <c r="G192"/>
  <c r="G194"/>
  <c r="G196"/>
  <c r="G198"/>
  <c r="G200"/>
  <c r="G202"/>
  <c r="R202"/>
  <c r="G206"/>
  <c r="R206"/>
  <c r="E206"/>
  <c r="G209"/>
  <c r="G211"/>
  <c r="G220"/>
  <c r="Q220"/>
  <c r="R220"/>
  <c r="E220"/>
  <c r="G224"/>
  <c r="Q224"/>
  <c r="E224"/>
  <c r="S224"/>
  <c r="G228"/>
  <c r="Q228"/>
  <c r="E137" s="1"/>
  <c r="S228"/>
  <c r="G232"/>
  <c r="Q232"/>
  <c r="S232"/>
  <c r="S125"/>
  <c r="S127"/>
  <c r="S129"/>
  <c r="S131"/>
  <c r="F155" s="1"/>
  <c r="S133"/>
  <c r="S135"/>
  <c r="S137"/>
  <c r="S139"/>
  <c r="S141"/>
  <c r="S182"/>
  <c r="S184"/>
  <c r="S186"/>
  <c r="S188"/>
  <c r="S190"/>
  <c r="S192"/>
  <c r="S194"/>
  <c r="S196"/>
  <c r="S198"/>
  <c r="S200"/>
  <c r="S209"/>
  <c r="S211"/>
  <c r="B45" i="21" l="1"/>
  <c r="H9"/>
  <c r="H41" s="1"/>
  <c r="E41"/>
  <c r="B41" i="25"/>
  <c r="P37"/>
  <c r="H25" i="21"/>
  <c r="B46"/>
  <c r="B42" i="25"/>
  <c r="F37" i="13"/>
  <c r="K8" i="25"/>
  <c r="I8"/>
  <c r="I12"/>
  <c r="K12"/>
  <c r="I16"/>
  <c r="K16"/>
  <c r="C37"/>
  <c r="H5"/>
  <c r="H37" s="1"/>
  <c r="G37" i="13"/>
  <c r="I24" i="25"/>
  <c r="K24"/>
  <c r="I28"/>
  <c r="K28"/>
  <c r="I32"/>
  <c r="K32"/>
  <c r="K36"/>
  <c r="I36"/>
  <c r="I7"/>
  <c r="K7"/>
  <c r="I11"/>
  <c r="K11"/>
  <c r="I15"/>
  <c r="K15"/>
  <c r="K19"/>
  <c r="I19"/>
  <c r="I23"/>
  <c r="K23"/>
  <c r="K27"/>
  <c r="I27"/>
  <c r="K31"/>
  <c r="I31"/>
  <c r="K35"/>
  <c r="I35"/>
  <c r="E37"/>
  <c r="E37" i="13"/>
  <c r="K20" i="25"/>
  <c r="I20"/>
  <c r="I6"/>
  <c r="K6"/>
  <c r="K10"/>
  <c r="I10"/>
  <c r="K14"/>
  <c r="I14"/>
  <c r="K18"/>
  <c r="I18"/>
  <c r="I22"/>
  <c r="K22"/>
  <c r="I26"/>
  <c r="K26"/>
  <c r="I30"/>
  <c r="K30"/>
  <c r="K34"/>
  <c r="I34"/>
  <c r="D37"/>
  <c r="K37" s="1"/>
  <c r="I9"/>
  <c r="K9"/>
  <c r="K13"/>
  <c r="I13"/>
  <c r="I17"/>
  <c r="K17"/>
  <c r="I21"/>
  <c r="K21"/>
  <c r="K25"/>
  <c r="I25"/>
  <c r="I29"/>
  <c r="K29"/>
  <c r="I33"/>
  <c r="K33"/>
  <c r="F37"/>
  <c r="D37" i="13"/>
  <c r="F232" i="8"/>
  <c r="F174"/>
  <c r="F66"/>
  <c r="E38"/>
  <c r="F26"/>
  <c r="F95"/>
  <c r="F127"/>
  <c r="F62"/>
  <c r="F27"/>
  <c r="E20"/>
  <c r="F153"/>
  <c r="F147"/>
  <c r="F219"/>
  <c r="F94"/>
  <c r="F19"/>
  <c r="E16"/>
  <c r="F161"/>
  <c r="F218"/>
  <c r="E156"/>
  <c r="E124"/>
  <c r="E47"/>
  <c r="E91"/>
  <c r="E36"/>
  <c r="F33"/>
  <c r="E198"/>
  <c r="E186"/>
  <c r="E202"/>
  <c r="F157"/>
  <c r="E232"/>
  <c r="E200"/>
  <c r="E192"/>
  <c r="E184"/>
  <c r="E238"/>
  <c r="E227"/>
  <c r="E203"/>
  <c r="E169"/>
  <c r="E165"/>
  <c r="E161"/>
  <c r="E157"/>
  <c r="E153"/>
  <c r="E147"/>
  <c r="E237"/>
  <c r="E230"/>
  <c r="F222"/>
  <c r="F215"/>
  <c r="E212"/>
  <c r="E208"/>
  <c r="E197"/>
  <c r="E193"/>
  <c r="E189"/>
  <c r="E185"/>
  <c r="E148"/>
  <c r="E140"/>
  <c r="E136"/>
  <c r="E132"/>
  <c r="E128"/>
  <c r="E119"/>
  <c r="F206"/>
  <c r="F196"/>
  <c r="F188"/>
  <c r="F178"/>
  <c r="F146"/>
  <c r="F135"/>
  <c r="F236"/>
  <c r="F229"/>
  <c r="E213"/>
  <c r="E177"/>
  <c r="E149"/>
  <c r="E120"/>
  <c r="F97"/>
  <c r="E105"/>
  <c r="E86"/>
  <c r="E62"/>
  <c r="E58"/>
  <c r="E43"/>
  <c r="E28"/>
  <c r="F68"/>
  <c r="F57"/>
  <c r="E111"/>
  <c r="E104"/>
  <c r="E75"/>
  <c r="E52"/>
  <c r="F96"/>
  <c r="F85"/>
  <c r="F50"/>
  <c r="F107"/>
  <c r="E88"/>
  <c r="E72"/>
  <c r="F158"/>
  <c r="F166"/>
  <c r="F128"/>
  <c r="F136"/>
  <c r="F183"/>
  <c r="F191"/>
  <c r="F199"/>
  <c r="F163"/>
  <c r="F102"/>
  <c r="F78"/>
  <c r="F55"/>
  <c r="F113"/>
  <c r="E106"/>
  <c r="E101"/>
  <c r="E98"/>
  <c r="E94"/>
  <c r="E85"/>
  <c r="E50"/>
  <c r="E11"/>
  <c r="F32"/>
  <c r="F14"/>
  <c r="F10"/>
  <c r="F31"/>
  <c r="F8"/>
  <c r="F41"/>
  <c r="F17"/>
  <c r="F16"/>
  <c r="E37"/>
  <c r="E25"/>
  <c r="E23"/>
  <c r="E21"/>
  <c r="E182"/>
  <c r="F220"/>
  <c r="E146"/>
  <c r="F224"/>
  <c r="E196"/>
  <c r="E188"/>
  <c r="E178"/>
  <c r="F159"/>
  <c r="F151"/>
  <c r="F228"/>
  <c r="E211"/>
  <c r="E174"/>
  <c r="E139"/>
  <c r="E135"/>
  <c r="E131"/>
  <c r="E127"/>
  <c r="E121"/>
  <c r="E231"/>
  <c r="F223"/>
  <c r="F216"/>
  <c r="E179"/>
  <c r="E234"/>
  <c r="F226"/>
  <c r="E180"/>
  <c r="E144"/>
  <c r="F209"/>
  <c r="F198"/>
  <c r="F190"/>
  <c r="F182"/>
  <c r="F150"/>
  <c r="F137"/>
  <c r="F129"/>
  <c r="F117"/>
  <c r="F233"/>
  <c r="E225"/>
  <c r="E221"/>
  <c r="E214"/>
  <c r="E173"/>
  <c r="E166"/>
  <c r="E162"/>
  <c r="E158"/>
  <c r="E154"/>
  <c r="E145"/>
  <c r="E116"/>
  <c r="F99"/>
  <c r="F91"/>
  <c r="E112"/>
  <c r="F112"/>
  <c r="E109"/>
  <c r="F103"/>
  <c r="E82"/>
  <c r="E67"/>
  <c r="E55"/>
  <c r="F70"/>
  <c r="F59"/>
  <c r="E115"/>
  <c r="F111"/>
  <c r="E108"/>
  <c r="E97"/>
  <c r="E93"/>
  <c r="E87"/>
  <c r="E65"/>
  <c r="E48"/>
  <c r="E32"/>
  <c r="F98"/>
  <c r="F89"/>
  <c r="F73"/>
  <c r="F64"/>
  <c r="F54"/>
  <c r="F35"/>
  <c r="E84"/>
  <c r="E70"/>
  <c r="E66"/>
  <c r="E59"/>
  <c r="E53"/>
  <c r="F156"/>
  <c r="F164"/>
  <c r="F126"/>
  <c r="F134"/>
  <c r="F142"/>
  <c r="F189"/>
  <c r="F197"/>
  <c r="F212"/>
  <c r="F169"/>
  <c r="F82"/>
  <c r="F67"/>
  <c r="F58"/>
  <c r="F43"/>
  <c r="F106"/>
  <c r="E81"/>
  <c r="E64"/>
  <c r="E46"/>
  <c r="E15"/>
  <c r="F11"/>
  <c r="F34"/>
  <c r="E18"/>
  <c r="E22"/>
  <c r="E9"/>
  <c r="E27"/>
  <c r="F12"/>
  <c r="E29"/>
  <c r="F39"/>
  <c r="F207"/>
  <c r="F203"/>
  <c r="F179"/>
  <c r="F175"/>
  <c r="F171"/>
  <c r="F122"/>
  <c r="F118"/>
  <c r="F204"/>
  <c r="F180"/>
  <c r="F176"/>
  <c r="F172"/>
  <c r="F148"/>
  <c r="F144"/>
  <c r="F123"/>
  <c r="F119"/>
  <c r="F205"/>
  <c r="F181"/>
  <c r="F177"/>
  <c r="F173"/>
  <c r="F149"/>
  <c r="F145"/>
  <c r="F124"/>
  <c r="F120"/>
  <c r="F116"/>
  <c r="F87"/>
  <c r="F83"/>
  <c r="F79"/>
  <c r="F75"/>
  <c r="F65"/>
  <c r="F56"/>
  <c r="F52"/>
  <c r="F48"/>
  <c r="F44"/>
  <c r="F38"/>
  <c r="F88"/>
  <c r="F84"/>
  <c r="F80"/>
  <c r="F76"/>
  <c r="F72"/>
  <c r="F63"/>
  <c r="F53"/>
  <c r="F49"/>
  <c r="F45"/>
  <c r="F37"/>
  <c r="F36"/>
  <c r="F25"/>
  <c r="F23"/>
  <c r="F21"/>
  <c r="E194"/>
  <c r="E150"/>
  <c r="E117"/>
  <c r="F238"/>
  <c r="F227"/>
  <c r="E175"/>
  <c r="E167"/>
  <c r="E163"/>
  <c r="E159"/>
  <c r="E155"/>
  <c r="E151"/>
  <c r="E122"/>
  <c r="F237"/>
  <c r="F230"/>
  <c r="E218"/>
  <c r="E215"/>
  <c r="E210"/>
  <c r="E204"/>
  <c r="E199"/>
  <c r="E195"/>
  <c r="E191"/>
  <c r="E187"/>
  <c r="E183"/>
  <c r="E176"/>
  <c r="E142"/>
  <c r="E138"/>
  <c r="E134"/>
  <c r="E130"/>
  <c r="E126"/>
  <c r="F211"/>
  <c r="F200"/>
  <c r="F192"/>
  <c r="F184"/>
  <c r="F139"/>
  <c r="F131"/>
  <c r="F121"/>
  <c r="E236"/>
  <c r="E229"/>
  <c r="F221"/>
  <c r="E205"/>
  <c r="F104"/>
  <c r="F93"/>
  <c r="F105"/>
  <c r="E102"/>
  <c r="E78"/>
  <c r="E60"/>
  <c r="E51"/>
  <c r="E34"/>
  <c r="F61"/>
  <c r="F115"/>
  <c r="F108"/>
  <c r="E83"/>
  <c r="E44"/>
  <c r="F100"/>
  <c r="F92"/>
  <c r="F77"/>
  <c r="F42"/>
  <c r="E26"/>
  <c r="E114"/>
  <c r="F114"/>
  <c r="E107"/>
  <c r="E80"/>
  <c r="E63"/>
  <c r="E49"/>
  <c r="F154"/>
  <c r="F162"/>
  <c r="F213"/>
  <c r="F132"/>
  <c r="F140"/>
  <c r="F187"/>
  <c r="F195"/>
  <c r="F210"/>
  <c r="F167"/>
  <c r="F86"/>
  <c r="F69"/>
  <c r="F60"/>
  <c r="F47"/>
  <c r="F101"/>
  <c r="E96"/>
  <c r="E92"/>
  <c r="E77"/>
  <c r="E42"/>
  <c r="E19"/>
  <c r="F15"/>
  <c r="F40"/>
  <c r="F18"/>
  <c r="E24"/>
  <c r="F22"/>
  <c r="E13"/>
  <c r="F9"/>
  <c r="F20"/>
  <c r="E35"/>
  <c r="E41"/>
  <c r="E190"/>
  <c r="E228"/>
  <c r="E209"/>
  <c r="E141"/>
  <c r="E133"/>
  <c r="E129"/>
  <c r="E125"/>
  <c r="F231"/>
  <c r="E223"/>
  <c r="E219"/>
  <c r="E216"/>
  <c r="E207"/>
  <c r="E118"/>
  <c r="F234"/>
  <c r="E226"/>
  <c r="E222"/>
  <c r="E172"/>
  <c r="E123"/>
  <c r="F202"/>
  <c r="F194"/>
  <c r="F186"/>
  <c r="F141"/>
  <c r="F133"/>
  <c r="F125"/>
  <c r="E233"/>
  <c r="F225"/>
  <c r="F214"/>
  <c r="E181"/>
  <c r="E168"/>
  <c r="E164"/>
  <c r="E160"/>
  <c r="E152"/>
  <c r="F109"/>
  <c r="E103"/>
  <c r="E90"/>
  <c r="E74"/>
  <c r="E69"/>
  <c r="E99"/>
  <c r="E95"/>
  <c r="E79"/>
  <c r="E56"/>
  <c r="F81"/>
  <c r="F46"/>
  <c r="F29"/>
  <c r="E76"/>
  <c r="E68"/>
  <c r="E61"/>
  <c r="E57"/>
  <c r="F152"/>
  <c r="F160"/>
  <c r="F168"/>
  <c r="F130"/>
  <c r="F138"/>
  <c r="F185"/>
  <c r="F193"/>
  <c r="F208"/>
  <c r="F165"/>
  <c r="F90"/>
  <c r="F74"/>
  <c r="F51"/>
  <c r="E113"/>
  <c r="E100"/>
  <c r="E89"/>
  <c r="E73"/>
  <c r="E54"/>
  <c r="F28"/>
  <c r="E14"/>
  <c r="E10"/>
  <c r="F24"/>
  <c r="F13"/>
  <c r="E31"/>
  <c r="E12"/>
  <c r="E8"/>
  <c r="E39"/>
  <c r="E17"/>
  <c r="E33"/>
  <c r="I37" i="25" l="1"/>
  <c r="G268" i="6"/>
  <c r="G267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39"/>
  <c r="G238"/>
  <c r="G237"/>
  <c r="G236"/>
  <c r="G235"/>
  <c r="G234"/>
  <c r="G233"/>
  <c r="G232"/>
  <c r="G231"/>
  <c r="G230"/>
  <c r="G229"/>
  <c r="G228"/>
  <c r="G227"/>
  <c r="G226"/>
  <c r="G225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</calcChain>
</file>

<file path=xl/comments1.xml><?xml version="1.0" encoding="utf-8"?>
<comments xmlns="http://schemas.openxmlformats.org/spreadsheetml/2006/main">
  <authors>
    <author>교육장025</author>
  </authors>
  <commentList>
    <comment ref="J4" authorId="0">
      <text>
        <r>
          <rPr>
            <b/>
            <sz val="10"/>
            <color indexed="81"/>
            <rFont val="돋움"/>
            <family val="3"/>
            <charset val="129"/>
          </rPr>
          <t>(창구50+집배50) * 99% 수준(본부배정기준)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교육장025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15.4~12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sharedStrings.xml><?xml version="1.0" encoding="utf-8"?>
<sst xmlns="http://schemas.openxmlformats.org/spreadsheetml/2006/main" count="2617" uniqueCount="458">
  <si>
    <t>대전</t>
  </si>
  <si>
    <t>서대전</t>
  </si>
  <si>
    <t>대전유성</t>
  </si>
  <si>
    <t>대전대덕</t>
  </si>
  <si>
    <t>대전둔산</t>
  </si>
  <si>
    <t>천안</t>
  </si>
  <si>
    <t>공주</t>
  </si>
  <si>
    <t>청주</t>
  </si>
  <si>
    <t>서청주</t>
  </si>
  <si>
    <t>충주</t>
  </si>
  <si>
    <t>제천</t>
  </si>
  <si>
    <t>아산</t>
  </si>
  <si>
    <t>동천안</t>
  </si>
  <si>
    <t>세종</t>
  </si>
  <si>
    <t>금산</t>
  </si>
  <si>
    <t>홍성</t>
  </si>
  <si>
    <t>예산</t>
  </si>
  <si>
    <t>논산</t>
  </si>
  <si>
    <t>서천</t>
  </si>
  <si>
    <t>당진</t>
  </si>
  <si>
    <t>청양</t>
  </si>
  <si>
    <t>부여</t>
  </si>
  <si>
    <t>보령</t>
  </si>
  <si>
    <t>서산</t>
  </si>
  <si>
    <t>태안</t>
  </si>
  <si>
    <t>단양</t>
  </si>
  <si>
    <t>괴산</t>
  </si>
  <si>
    <t>진천</t>
  </si>
  <si>
    <t>옥천</t>
  </si>
  <si>
    <t>음성</t>
  </si>
  <si>
    <t>영동</t>
  </si>
  <si>
    <t>보은</t>
  </si>
  <si>
    <t>-</t>
  </si>
  <si>
    <t>목표</t>
  </si>
  <si>
    <t>5급평균</t>
  </si>
  <si>
    <t>4급평균</t>
  </si>
  <si>
    <t>국명</t>
    <phoneticPr fontId="2" type="noConversion"/>
  </si>
  <si>
    <t>종합</t>
    <phoneticPr fontId="4" type="noConversion"/>
  </si>
  <si>
    <t>구분</t>
    <phoneticPr fontId="4" type="noConversion"/>
  </si>
  <si>
    <t>총괄국</t>
    <phoneticPr fontId="4" type="noConversion"/>
  </si>
  <si>
    <t>급수</t>
    <phoneticPr fontId="4" type="noConversion"/>
  </si>
  <si>
    <t>전체순위</t>
    <phoneticPr fontId="4" type="noConversion"/>
  </si>
  <si>
    <t>급내순위</t>
    <phoneticPr fontId="4" type="noConversion"/>
  </si>
  <si>
    <t>청내순위</t>
    <phoneticPr fontId="4" type="noConversion"/>
  </si>
  <si>
    <t>창구</t>
    <phoneticPr fontId="4" type="noConversion"/>
  </si>
  <si>
    <t>집배</t>
    <phoneticPr fontId="4" type="noConversion"/>
  </si>
  <si>
    <t>창구종합</t>
    <phoneticPr fontId="4" type="noConversion"/>
  </si>
  <si>
    <t>우편</t>
    <phoneticPr fontId="4" type="noConversion"/>
  </si>
  <si>
    <t>예금</t>
    <phoneticPr fontId="4" type="noConversion"/>
  </si>
  <si>
    <t>보험</t>
    <phoneticPr fontId="4" type="noConversion"/>
  </si>
  <si>
    <t>CSI</t>
    <phoneticPr fontId="4" type="noConversion"/>
  </si>
  <si>
    <t>청평균</t>
    <phoneticPr fontId="4" type="noConversion"/>
  </si>
  <si>
    <t>-</t>
    <phoneticPr fontId="4" type="noConversion"/>
  </si>
  <si>
    <t>서울</t>
    <phoneticPr fontId="4" type="noConversion"/>
  </si>
  <si>
    <t>서울중앙</t>
  </si>
  <si>
    <t>광화문</t>
  </si>
  <si>
    <t>서대문</t>
  </si>
  <si>
    <t>동대문</t>
  </si>
  <si>
    <t>서울광진</t>
  </si>
  <si>
    <t>서울강북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</si>
  <si>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</si>
  <si>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</si>
  <si>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</si>
  <si>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</si>
  <si>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</si>
  <si>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</si>
  <si>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</si>
  <si>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</si>
  <si>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</si>
  <si>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서울동작</t>
  </si>
  <si>
    <t>서울서초</t>
  </si>
  <si>
    <t>서울양천</t>
  </si>
  <si>
    <t>서울강서</t>
  </si>
  <si>
    <t>서울용산</t>
  </si>
  <si>
    <t>서울중랑</t>
  </si>
  <si>
    <t>서울노원</t>
  </si>
  <si>
    <t>경인</t>
    <phoneticPr fontId="4" type="noConversion"/>
  </si>
  <si>
    <t>인천</t>
  </si>
  <si>
    <t>인천계양</t>
  </si>
  <si>
    <t>서인천</t>
  </si>
  <si>
    <t>남인천</t>
  </si>
  <si>
    <t>수원</t>
  </si>
  <si>
    <t>동수원</t>
  </si>
  <si>
    <t>의정부</t>
  </si>
  <si>
    <t>성남</t>
  </si>
  <si>
    <t>성남분당</t>
  </si>
  <si>
    <t>안산</t>
  </si>
  <si>
    <t>군포</t>
  </si>
  <si>
    <t>안양</t>
  </si>
  <si>
    <t>부천</t>
  </si>
  <si>
    <t>부평</t>
  </si>
  <si>
    <t>고양일산</t>
  </si>
  <si>
    <t>고양덕양</t>
  </si>
  <si>
    <t>남양주</t>
  </si>
  <si>
    <t>광명</t>
  </si>
  <si>
    <t>시흥</t>
  </si>
  <si>
    <t>평택</t>
  </si>
  <si>
    <t>용인</t>
  </si>
  <si>
    <t>화성</t>
  </si>
  <si>
    <t>용인수지</t>
  </si>
  <si>
    <t>구리</t>
  </si>
  <si>
    <t>백령</t>
  </si>
  <si>
    <t>강화</t>
  </si>
  <si>
    <t>포천</t>
  </si>
  <si>
    <t>파주</t>
  </si>
  <si>
    <t>김포</t>
  </si>
  <si>
    <t>가평</t>
  </si>
  <si>
    <t>양평</t>
  </si>
  <si>
    <t>경기광주</t>
  </si>
  <si>
    <t>이천</t>
  </si>
  <si>
    <t>여주</t>
  </si>
  <si>
    <t>안성</t>
  </si>
  <si>
    <t>동두천</t>
  </si>
  <si>
    <t>연천</t>
  </si>
  <si>
    <t>오산</t>
  </si>
  <si>
    <t>하남</t>
  </si>
  <si>
    <t>부산</t>
    <phoneticPr fontId="4" type="noConversion"/>
  </si>
  <si>
    <t>부산</t>
  </si>
  <si>
    <t>동래</t>
  </si>
  <si>
    <t>남부산</t>
  </si>
  <si>
    <t>부산사상</t>
  </si>
  <si>
    <t>부산금정</t>
  </si>
  <si>
    <t>부산사하</t>
  </si>
  <si>
    <t>해운대</t>
  </si>
  <si>
    <t>북부산</t>
  </si>
  <si>
    <t>부산연제</t>
  </si>
  <si>
    <t>부산진</t>
  </si>
  <si>
    <t>울산</t>
  </si>
  <si>
    <t>남울산</t>
  </si>
  <si>
    <t>마산</t>
  </si>
  <si>
    <t>진주</t>
  </si>
  <si>
    <t>진해</t>
  </si>
  <si>
    <t>창원</t>
  </si>
  <si>
    <t>김해</t>
  </si>
  <si>
    <t>양산</t>
  </si>
  <si>
    <t>동부산</t>
  </si>
  <si>
    <t>부산영도</t>
  </si>
  <si>
    <t>부산강서</t>
  </si>
  <si>
    <t>기장</t>
  </si>
  <si>
    <t>동울산</t>
  </si>
  <si>
    <t>거제</t>
  </si>
  <si>
    <t>거창</t>
  </si>
  <si>
    <t>고성</t>
  </si>
  <si>
    <t>남해</t>
  </si>
  <si>
    <t>밀양</t>
  </si>
  <si>
    <t>사천</t>
  </si>
  <si>
    <t>산청</t>
  </si>
  <si>
    <t>의령</t>
  </si>
  <si>
    <t>창녕</t>
  </si>
  <si>
    <t>통영</t>
  </si>
  <si>
    <t>하동</t>
  </si>
  <si>
    <t>함안</t>
  </si>
  <si>
    <t>함양</t>
  </si>
  <si>
    <t>합천</t>
  </si>
  <si>
    <t>마산합포</t>
  </si>
  <si>
    <t>충청</t>
    <phoneticPr fontId="4" type="noConversion"/>
  </si>
  <si>
    <t>전남</t>
    <phoneticPr fontId="4" type="noConversion"/>
  </si>
  <si>
    <t>광주</t>
  </si>
  <si>
    <t>북광주</t>
  </si>
  <si>
    <t>서광주</t>
  </si>
  <si>
    <t>광주광산</t>
  </si>
  <si>
    <t>목포</t>
  </si>
  <si>
    <t>여수</t>
  </si>
  <si>
    <t>순천</t>
  </si>
  <si>
    <t>보성</t>
  </si>
  <si>
    <t>장흥</t>
  </si>
  <si>
    <t>화순</t>
  </si>
  <si>
    <t>곡성</t>
  </si>
  <si>
    <t>구례</t>
  </si>
  <si>
    <t>나주</t>
  </si>
  <si>
    <t>영광</t>
  </si>
  <si>
    <t>함평</t>
  </si>
  <si>
    <t>담양</t>
  </si>
  <si>
    <t>장성</t>
  </si>
  <si>
    <t>무안</t>
  </si>
  <si>
    <t>영암</t>
  </si>
  <si>
    <t>광양</t>
  </si>
  <si>
    <t>고흥</t>
  </si>
  <si>
    <t>해남</t>
  </si>
  <si>
    <t>강진</t>
  </si>
  <si>
    <t>완도</t>
  </si>
  <si>
    <t>진도</t>
  </si>
  <si>
    <t>경북</t>
    <phoneticPr fontId="4" type="noConversion"/>
  </si>
  <si>
    <t>대구</t>
  </si>
  <si>
    <t>동대구</t>
  </si>
  <si>
    <t>서대구</t>
  </si>
  <si>
    <t>북대구</t>
  </si>
  <si>
    <t>대구달서</t>
  </si>
  <si>
    <t>대구수성</t>
  </si>
  <si>
    <t>포항</t>
  </si>
  <si>
    <t>경주</t>
  </si>
  <si>
    <t>안동</t>
  </si>
  <si>
    <t>구미</t>
  </si>
  <si>
    <t>경산</t>
  </si>
  <si>
    <t>영주</t>
  </si>
  <si>
    <t>상주</t>
  </si>
  <si>
    <t>남대구</t>
  </si>
  <si>
    <t>달성</t>
  </si>
  <si>
    <t>김천</t>
  </si>
  <si>
    <t>영천</t>
  </si>
  <si>
    <t>의성</t>
  </si>
  <si>
    <t>문경</t>
  </si>
  <si>
    <t>울진</t>
  </si>
  <si>
    <t>예천</t>
  </si>
  <si>
    <t>영덕</t>
  </si>
  <si>
    <t>칠곡</t>
  </si>
  <si>
    <t>봉화</t>
  </si>
  <si>
    <t>청도</t>
  </si>
  <si>
    <t>청송</t>
  </si>
  <si>
    <t>성주</t>
  </si>
  <si>
    <t>군위</t>
  </si>
  <si>
    <t>영양</t>
  </si>
  <si>
    <t>고령</t>
  </si>
  <si>
    <t>울릉</t>
  </si>
  <si>
    <t>전북</t>
    <phoneticPr fontId="4" type="noConversion"/>
  </si>
  <si>
    <t>전주</t>
  </si>
  <si>
    <t>동전주</t>
  </si>
  <si>
    <t>군산</t>
  </si>
  <si>
    <t>익산</t>
  </si>
  <si>
    <t>정읍</t>
  </si>
  <si>
    <t>남원</t>
  </si>
  <si>
    <t>김제</t>
  </si>
  <si>
    <t>부안</t>
  </si>
  <si>
    <t>무주</t>
  </si>
  <si>
    <t>임실</t>
  </si>
  <si>
    <t>진안</t>
  </si>
  <si>
    <t>순창</t>
  </si>
  <si>
    <t>고창</t>
  </si>
  <si>
    <t>장수</t>
  </si>
  <si>
    <t>완주</t>
  </si>
  <si>
    <t>강원</t>
    <phoneticPr fontId="4" type="noConversion"/>
  </si>
  <si>
    <t>춘천</t>
  </si>
  <si>
    <t>원주</t>
  </si>
  <si>
    <t>강릉</t>
  </si>
  <si>
    <t>동해</t>
  </si>
  <si>
    <t>삼척</t>
  </si>
  <si>
    <t>속초</t>
  </si>
  <si>
    <t>양구</t>
  </si>
  <si>
    <t>양양</t>
  </si>
  <si>
    <t>영월</t>
  </si>
  <si>
    <t>인제</t>
  </si>
  <si>
    <t>정선</t>
  </si>
  <si>
    <t>철원</t>
  </si>
  <si>
    <t>태백</t>
  </si>
  <si>
    <t>평창</t>
  </si>
  <si>
    <t>홍천</t>
  </si>
  <si>
    <t>화천</t>
  </si>
  <si>
    <t>횡성</t>
  </si>
  <si>
    <t>제주</t>
    <phoneticPr fontId="4" type="noConversion"/>
  </si>
  <si>
    <t>제주</t>
  </si>
  <si>
    <t>서귀포</t>
  </si>
  <si>
    <t>연기</t>
    <phoneticPr fontId="4" type="noConversion"/>
  </si>
  <si>
    <t>청평균</t>
  </si>
  <si>
    <t>구분</t>
  </si>
  <si>
    <t>목표배정
(1안,3안,4안)/3</t>
  </si>
  <si>
    <t xml:space="preserve">종합
KCSI </t>
    <phoneticPr fontId="4" type="noConversion"/>
  </si>
  <si>
    <t>1)
이용고객
종합</t>
    <phoneticPr fontId="4" type="noConversion"/>
  </si>
  <si>
    <t>2)
현장
모니터링</t>
    <phoneticPr fontId="4" type="noConversion"/>
  </si>
  <si>
    <t>MI</t>
    <phoneticPr fontId="4" type="noConversion"/>
  </si>
  <si>
    <t>현장
모니터링</t>
    <phoneticPr fontId="4" type="noConversion"/>
  </si>
  <si>
    <t>세종</t>
    <phoneticPr fontId="4" type="noConversion"/>
  </si>
  <si>
    <t>배정목표</t>
    <phoneticPr fontId="4" type="noConversion"/>
  </si>
  <si>
    <t>배정목표</t>
  </si>
  <si>
    <t xml:space="preserve">종합
KPCSI </t>
    <phoneticPr fontId="4" type="noConversion"/>
  </si>
  <si>
    <t>전체순위</t>
  </si>
  <si>
    <t>급내순위</t>
  </si>
  <si>
    <t>4급</t>
    <phoneticPr fontId="4" type="noConversion"/>
  </si>
  <si>
    <t>5급</t>
    <phoneticPr fontId="4" type="noConversion"/>
  </si>
  <si>
    <t>전체</t>
    <phoneticPr fontId="4" type="noConversion"/>
  </si>
  <si>
    <t>청 합계</t>
    <phoneticPr fontId="4" type="noConversion"/>
  </si>
  <si>
    <t>.</t>
    <phoneticPr fontId="4" type="noConversion"/>
  </si>
  <si>
    <t>4급</t>
  </si>
  <si>
    <t>서울도봉</t>
  </si>
  <si>
    <t>서수원</t>
  </si>
  <si>
    <t>5급</t>
  </si>
  <si>
    <t>영암우편집중국</t>
  </si>
  <si>
    <t>.</t>
  </si>
  <si>
    <t>제주우편집중국</t>
  </si>
  <si>
    <t>목표</t>
    <phoneticPr fontId="2" type="noConversion"/>
  </si>
  <si>
    <t>목표</t>
    <phoneticPr fontId="2" type="noConversion"/>
  </si>
  <si>
    <t>4급</t>
    <phoneticPr fontId="2" type="noConversion"/>
  </si>
  <si>
    <t>4급</t>
    <phoneticPr fontId="2" type="noConversion"/>
  </si>
  <si>
    <t>5급</t>
    <phoneticPr fontId="2" type="noConversion"/>
  </si>
  <si>
    <t>국명</t>
    <phoneticPr fontId="2" type="noConversion"/>
  </si>
  <si>
    <t>관서급</t>
    <phoneticPr fontId="2" type="noConversion"/>
  </si>
  <si>
    <t>종합</t>
    <phoneticPr fontId="2" type="noConversion"/>
  </si>
  <si>
    <t>창구종합</t>
    <phoneticPr fontId="2" type="noConversion"/>
  </si>
  <si>
    <t>우편</t>
    <phoneticPr fontId="2" type="noConversion"/>
  </si>
  <si>
    <t>예금</t>
    <phoneticPr fontId="2" type="noConversion"/>
  </si>
  <si>
    <t>보험</t>
    <phoneticPr fontId="2" type="noConversion"/>
  </si>
  <si>
    <t>집배</t>
    <phoneticPr fontId="2" type="noConversion"/>
  </si>
  <si>
    <t>4급</t>
    <phoneticPr fontId="2" type="noConversion"/>
  </si>
  <si>
    <t>5급</t>
    <phoneticPr fontId="2" type="noConversion"/>
  </si>
  <si>
    <t>연기</t>
    <phoneticPr fontId="2" type="noConversion"/>
  </si>
  <si>
    <t>2013년</t>
    <phoneticPr fontId="2" type="noConversion"/>
  </si>
  <si>
    <t>2014년</t>
    <phoneticPr fontId="2" type="noConversion"/>
  </si>
  <si>
    <t>2015년</t>
    <phoneticPr fontId="2" type="noConversion"/>
  </si>
  <si>
    <t>MOT</t>
    <phoneticPr fontId="2" type="noConversion"/>
  </si>
  <si>
    <t>이용고객</t>
    <phoneticPr fontId="2" type="noConversion"/>
  </si>
  <si>
    <t>국명</t>
  </si>
  <si>
    <t>지역특성</t>
    <phoneticPr fontId="2" type="noConversion"/>
  </si>
  <si>
    <t>②-①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</si>
  <si>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</si>
  <si>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</si>
  <si>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</si>
  <si>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②-(A)</t>
    <phoneticPr fontId="2" type="noConversion"/>
  </si>
  <si>
    <t>달성전망</t>
    <phoneticPr fontId="2" type="noConversion"/>
  </si>
  <si>
    <t>(%)</t>
    <phoneticPr fontId="2" type="noConversion"/>
  </si>
  <si>
    <t>5:3:2 대비</t>
    <phoneticPr fontId="2" type="noConversion"/>
  </si>
  <si>
    <t>전년실적대비</t>
    <phoneticPr fontId="2" type="noConversion"/>
  </si>
  <si>
    <t>대도시</t>
    <phoneticPr fontId="2" type="noConversion"/>
  </si>
  <si>
    <t>* 실적기준: 연도별 집배분야 KPCSI</t>
    <phoneticPr fontId="2" type="noConversion"/>
  </si>
  <si>
    <t>실적</t>
    <phoneticPr fontId="2" type="noConversion"/>
  </si>
  <si>
    <t>평균</t>
  </si>
  <si>
    <t>2016년 목표배정(안)</t>
    <phoneticPr fontId="2" type="noConversion"/>
  </si>
  <si>
    <t>구분</t>
    <phoneticPr fontId="54" type="noConversion"/>
  </si>
  <si>
    <t>표본수</t>
    <phoneticPr fontId="54" type="noConversion"/>
  </si>
  <si>
    <t>총괄국</t>
  </si>
  <si>
    <t>일반국</t>
  </si>
  <si>
    <t>별정국</t>
  </si>
  <si>
    <t>취급국</t>
  </si>
  <si>
    <t>동</t>
  </si>
  <si>
    <t>읍/면</t>
  </si>
  <si>
    <t>표본</t>
  </si>
  <si>
    <t>총괄국</t>
    <phoneticPr fontId="54" type="noConversion"/>
  </si>
  <si>
    <t>순위</t>
    <phoneticPr fontId="54" type="noConversion"/>
  </si>
  <si>
    <t>12.23.(안)</t>
    <phoneticPr fontId="2" type="noConversion"/>
  </si>
  <si>
    <t>2016년 창구종합 KPCSI 목표배정 검토안 비교자료</t>
    <phoneticPr fontId="2" type="noConversion"/>
  </si>
  <si>
    <t>관서급/행정구역별 KPCSI</t>
    <phoneticPr fontId="54" type="noConversion"/>
  </si>
  <si>
    <t>그룹</t>
    <phoneticPr fontId="54" type="noConversion"/>
  </si>
  <si>
    <t>4급관서</t>
    <phoneticPr fontId="2" type="noConversion"/>
  </si>
  <si>
    <t>5급관서</t>
    <phoneticPr fontId="2" type="noConversion"/>
  </si>
  <si>
    <t>구분</t>
    <phoneticPr fontId="2" type="noConversion"/>
  </si>
  <si>
    <t>&lt;표준편차&gt;</t>
    <phoneticPr fontId="2" type="noConversion"/>
  </si>
  <si>
    <t>대도시</t>
    <phoneticPr fontId="2" type="noConversion"/>
  </si>
  <si>
    <t>중소도시</t>
    <phoneticPr fontId="2" type="noConversion"/>
  </si>
  <si>
    <t>군지역</t>
    <phoneticPr fontId="2" type="noConversion"/>
  </si>
  <si>
    <t>평균</t>
    <phoneticPr fontId="2" type="noConversion"/>
  </si>
  <si>
    <t>그룹</t>
    <phoneticPr fontId="2" type="noConversion"/>
  </si>
  <si>
    <t>전년대비</t>
    <phoneticPr fontId="2" type="noConversion"/>
  </si>
  <si>
    <t>목표</t>
    <phoneticPr fontId="2" type="noConversion"/>
  </si>
  <si>
    <t>실적</t>
    <phoneticPr fontId="2" type="noConversion"/>
  </si>
  <si>
    <t>1그룹</t>
    <phoneticPr fontId="2" type="noConversion"/>
  </si>
  <si>
    <t>2그룹</t>
    <phoneticPr fontId="2" type="noConversion"/>
  </si>
  <si>
    <t>3그룹</t>
    <phoneticPr fontId="2" type="noConversion"/>
  </si>
  <si>
    <t>4그룹</t>
    <phoneticPr fontId="2" type="noConversion"/>
  </si>
  <si>
    <t>5그룹</t>
    <phoneticPr fontId="2" type="noConversion"/>
  </si>
  <si>
    <t>당초안
(12.23)
대비</t>
    <phoneticPr fontId="2" type="noConversion"/>
  </si>
  <si>
    <t>우체국</t>
    <phoneticPr fontId="54" type="noConversion"/>
  </si>
  <si>
    <t>합계</t>
    <phoneticPr fontId="54" type="noConversion"/>
  </si>
  <si>
    <t>총괄국</t>
    <phoneticPr fontId="54" type="noConversion"/>
  </si>
  <si>
    <t>취급국</t>
    <phoneticPr fontId="54" type="noConversion"/>
  </si>
  <si>
    <r>
      <t xml:space="preserve">환산 KPCSI(관서급/행정구역/표본비율 반영) </t>
    </r>
    <r>
      <rPr>
        <b/>
        <sz val="11"/>
        <color rgb="FFFF0000"/>
        <rFont val="바탕체"/>
        <family val="1"/>
        <charset val="129"/>
      </rPr>
      <t>②</t>
    </r>
    <phoneticPr fontId="2" type="noConversion"/>
  </si>
  <si>
    <t>소계</t>
    <phoneticPr fontId="54" type="noConversion"/>
  </si>
  <si>
    <t>2015년</t>
    <phoneticPr fontId="54" type="noConversion"/>
  </si>
  <si>
    <t>2014년</t>
    <phoneticPr fontId="54" type="noConversion"/>
  </si>
  <si>
    <t>2013년</t>
    <phoneticPr fontId="54" type="noConversion"/>
  </si>
  <si>
    <t>가중실적
(5:3:2)</t>
    <phoneticPr fontId="54" type="noConversion"/>
  </si>
  <si>
    <t>15년</t>
    <phoneticPr fontId="54" type="noConversion"/>
  </si>
  <si>
    <t>14년</t>
    <phoneticPr fontId="54" type="noConversion"/>
  </si>
  <si>
    <t>13년</t>
    <phoneticPr fontId="54" type="noConversion"/>
  </si>
  <si>
    <t>순위</t>
    <phoneticPr fontId="2" type="noConversion"/>
  </si>
  <si>
    <t>그룹</t>
    <phoneticPr fontId="2" type="noConversion"/>
  </si>
  <si>
    <t>시</t>
    <phoneticPr fontId="54" type="noConversion"/>
  </si>
  <si>
    <t>군</t>
    <phoneticPr fontId="54" type="noConversion"/>
  </si>
  <si>
    <t>소계</t>
    <phoneticPr fontId="54" type="noConversion"/>
  </si>
  <si>
    <t>시</t>
    <phoneticPr fontId="54" type="noConversion"/>
  </si>
  <si>
    <t>군</t>
    <phoneticPr fontId="54" type="noConversion"/>
  </si>
  <si>
    <t>2015년</t>
    <phoneticPr fontId="54" type="noConversion"/>
  </si>
  <si>
    <t>2014년</t>
    <phoneticPr fontId="54" type="noConversion"/>
  </si>
  <si>
    <t>2013년</t>
    <phoneticPr fontId="54" type="noConversion"/>
  </si>
  <si>
    <t>관서수</t>
    <phoneticPr fontId="54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</si>
  <si>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</si>
  <si>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</si>
  <si>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</si>
  <si>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</si>
  <si>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최종(안)</t>
    <phoneticPr fontId="2" type="noConversion"/>
  </si>
  <si>
    <t>창구</t>
    <phoneticPr fontId="2" type="noConversion"/>
  </si>
  <si>
    <t>집배</t>
    <phoneticPr fontId="2" type="noConversion"/>
  </si>
  <si>
    <t>목표(안)</t>
    <phoneticPr fontId="2" type="noConversion"/>
  </si>
  <si>
    <t>목표(안)</t>
    <phoneticPr fontId="2" type="noConversion"/>
  </si>
  <si>
    <t>기준</t>
    <phoneticPr fontId="2" type="noConversion"/>
  </si>
  <si>
    <t>기준</t>
    <phoneticPr fontId="54" type="noConversion"/>
  </si>
  <si>
    <t>종합</t>
    <phoneticPr fontId="2" type="noConversion"/>
  </si>
  <si>
    <t>국명</t>
    <phoneticPr fontId="2" type="noConversion"/>
  </si>
  <si>
    <t>기준</t>
    <phoneticPr fontId="2" type="noConversion"/>
  </si>
  <si>
    <t>그룹</t>
    <phoneticPr fontId="2" type="noConversion"/>
  </si>
  <si>
    <t>1그룹
(5국)</t>
    <phoneticPr fontId="2" type="noConversion"/>
  </si>
  <si>
    <t>산출점수</t>
    <phoneticPr fontId="2" type="noConversion"/>
  </si>
  <si>
    <t>산출점수</t>
    <phoneticPr fontId="54" type="noConversion"/>
  </si>
  <si>
    <t>산출점수
(5:3:2)</t>
    <phoneticPr fontId="2" type="noConversion"/>
  </si>
  <si>
    <t>산출점수 
94.0점 미만
(대도시1)</t>
    <phoneticPr fontId="54" type="noConversion"/>
  </si>
  <si>
    <t>산출점수
94.5점 미만
(대도시2)</t>
    <phoneticPr fontId="54" type="noConversion"/>
  </si>
  <si>
    <t>산출점수 
95.2점미만
(중소도시)</t>
    <phoneticPr fontId="54" type="noConversion"/>
  </si>
  <si>
    <t>산출점수
96.0점 미만
(군지역)</t>
    <phoneticPr fontId="54" type="noConversion"/>
  </si>
  <si>
    <t>&lt;표준편차&gt;</t>
    <phoneticPr fontId="2" type="noConversion"/>
  </si>
  <si>
    <t>가중실적</t>
    <phoneticPr fontId="2" type="noConversion"/>
  </si>
  <si>
    <t>5급관서</t>
    <phoneticPr fontId="2" type="noConversion"/>
  </si>
  <si>
    <t>4급관서</t>
    <phoneticPr fontId="2" type="noConversion"/>
  </si>
  <si>
    <t>구분</t>
    <phoneticPr fontId="2" type="noConversion"/>
  </si>
  <si>
    <t>비교</t>
    <phoneticPr fontId="2" type="noConversion"/>
  </si>
  <si>
    <t>최종(안)</t>
    <phoneticPr fontId="2" type="noConversion"/>
  </si>
  <si>
    <t>2016년
창구목표
(안)</t>
    <phoneticPr fontId="2" type="noConversion"/>
  </si>
  <si>
    <t>부하율</t>
    <phoneticPr fontId="2" type="noConversion"/>
  </si>
  <si>
    <t>목표배정 검토 및 비교자료</t>
    <phoneticPr fontId="2" type="noConversion"/>
  </si>
  <si>
    <t>관서급</t>
    <phoneticPr fontId="2" type="noConversion"/>
  </si>
  <si>
    <t>4급</t>
    <phoneticPr fontId="2" type="noConversion"/>
  </si>
  <si>
    <t>5급</t>
    <phoneticPr fontId="2" type="noConversion"/>
  </si>
  <si>
    <t>4급</t>
    <phoneticPr fontId="2" type="noConversion"/>
  </si>
  <si>
    <t>5급</t>
    <phoneticPr fontId="2" type="noConversion"/>
  </si>
  <si>
    <t>&lt;표준편차&gt;</t>
    <phoneticPr fontId="2" type="noConversion"/>
  </si>
  <si>
    <t>(5:3:2)</t>
    <phoneticPr fontId="2" type="noConversion"/>
  </si>
  <si>
    <t>5급관서</t>
    <phoneticPr fontId="2" type="noConversion"/>
  </si>
  <si>
    <t>가중실적</t>
    <phoneticPr fontId="2" type="noConversion"/>
  </si>
  <si>
    <t>집배목표(안)</t>
    <phoneticPr fontId="2" type="noConversion"/>
  </si>
  <si>
    <t>&lt;다&gt;그룹
군지역
(12국)</t>
    <phoneticPr fontId="2" type="noConversion"/>
  </si>
  <si>
    <t>&lt;나&gt;그룹
중소도시
(진천, 음성 포함)
(9국)</t>
    <phoneticPr fontId="2" type="noConversion"/>
  </si>
  <si>
    <t>&lt;가&gt;그룹
대도시
(11국)</t>
    <phoneticPr fontId="2" type="noConversion"/>
  </si>
  <si>
    <t>A그룹
대도시1
(5국)</t>
    <phoneticPr fontId="54" type="noConversion"/>
  </si>
  <si>
    <t>B그룹
대도시2
(6국)</t>
    <phoneticPr fontId="54" type="noConversion"/>
  </si>
  <si>
    <t>C그룹
중소도시
(7국)</t>
    <phoneticPr fontId="54" type="noConversion"/>
  </si>
  <si>
    <t>D그룹
군지역
(14국)</t>
    <phoneticPr fontId="54" type="noConversion"/>
  </si>
  <si>
    <t>산출목표</t>
    <phoneticPr fontId="2" type="noConversion"/>
  </si>
  <si>
    <t>지역특성
(중소도시)
부하률
(진천,음성)</t>
    <phoneticPr fontId="2" type="noConversion"/>
  </si>
  <si>
    <t>지역특성
(부하률과 만족도는 상관관계 찾기 어려움)</t>
    <phoneticPr fontId="2" type="noConversion"/>
  </si>
  <si>
    <r>
      <rPr>
        <sz val="10"/>
        <color rgb="FF0000FF"/>
        <rFont val="바탕체"/>
        <family val="1"/>
        <charset val="129"/>
      </rPr>
      <t xml:space="preserve">- 총괄국 vs 관내국 표본비율 고려 요청사항 반영
- 최근 3년간 가중실적 고려 요청사항 반영
  (관서급/동읍면/3년가중)
</t>
    </r>
    <r>
      <rPr>
        <sz val="10"/>
        <color rgb="FF0000FF"/>
        <rFont val="바탕체"/>
        <family val="1"/>
        <charset val="129"/>
      </rPr>
      <t>- 창구분야는 전체 32국을 4개 그룹으로 세분(점수기준)</t>
    </r>
    <r>
      <rPr>
        <sz val="10"/>
        <color rgb="FF000000"/>
        <rFont val="바탕체"/>
        <family val="1"/>
        <charset val="129"/>
      </rPr>
      <t xml:space="preserve">
- 유사 지역간 목표 표준편차 최소화</t>
    </r>
    <phoneticPr fontId="2" type="noConversion"/>
  </si>
  <si>
    <r>
      <rPr>
        <sz val="10"/>
        <color rgb="FF0000FF"/>
        <rFont val="바탕체"/>
        <family val="1"/>
        <charset val="129"/>
      </rPr>
      <t>- 세종지역 인구증가 추세 및 지역특성 반영하여 중소도시→대도시로 재분류
- 집배부하률은 고객만족도와의 상관관계 참고자료로 활용(제한적 고려)
- 집배분야는 32개 총괄국을 3개 그룹으로 세분(지역특성 및 부하률 기준)
- 유사 지역간 목표 표준편차 최소화</t>
    </r>
    <phoneticPr fontId="2" type="noConversion"/>
  </si>
  <si>
    <r>
      <rPr>
        <sz val="10"/>
        <color rgb="FF0000FF"/>
        <rFont val="바탕체"/>
        <family val="1"/>
        <charset val="129"/>
      </rPr>
      <t>- 산출목표의 유사 지역간 목표점수 단순화 요구사항 반영
- 종합목표는 32개 총괄국이 5개 목표로 세분(점수기준)
- 유사 지역간 목표 표준편차 최소화</t>
    </r>
    <phoneticPr fontId="2" type="noConversion"/>
  </si>
  <si>
    <t>2016년 우정서비스 고객만족도(KPCSI) 목표배정 기준(요약)</t>
    <phoneticPr fontId="2" type="noConversion"/>
  </si>
  <si>
    <t>①가중실적</t>
    <phoneticPr fontId="2" type="noConversion"/>
  </si>
  <si>
    <t>②2016년</t>
    <phoneticPr fontId="2" type="noConversion"/>
  </si>
  <si>
    <t>4그룹
(2국)</t>
    <phoneticPr fontId="2" type="noConversion"/>
  </si>
  <si>
    <t>달성전망
(2015실적)</t>
    <phoneticPr fontId="2" type="noConversion"/>
  </si>
  <si>
    <t>가중실적(안)- 산출목표*99% 수준</t>
    <phoneticPr fontId="2" type="noConversion"/>
  </si>
  <si>
    <t>2015년</t>
    <phoneticPr fontId="2" type="noConversion"/>
  </si>
  <si>
    <t>2014년</t>
    <phoneticPr fontId="2" type="noConversion"/>
  </si>
  <si>
    <t>2013년</t>
    <phoneticPr fontId="2" type="noConversion"/>
  </si>
  <si>
    <t>가중실적
(5:3:2)</t>
    <phoneticPr fontId="2" type="noConversion"/>
  </si>
  <si>
    <t>가중실적</t>
    <phoneticPr fontId="2" type="noConversion"/>
  </si>
  <si>
    <t>12.23.(안)</t>
    <phoneticPr fontId="2" type="noConversion"/>
  </si>
  <si>
    <t>5그룹
(12국)</t>
    <phoneticPr fontId="2" type="noConversion"/>
  </si>
  <si>
    <t>창구목표</t>
    <phoneticPr fontId="2" type="noConversion"/>
  </si>
  <si>
    <t>창구목표
(안)</t>
    <phoneticPr fontId="2" type="noConversion"/>
  </si>
  <si>
    <t>달성전망</t>
    <phoneticPr fontId="2" type="noConversion"/>
  </si>
  <si>
    <r>
      <t xml:space="preserve">최근3년 창구종합 KPCSI </t>
    </r>
    <r>
      <rPr>
        <b/>
        <sz val="11"/>
        <color rgb="FFFF0000"/>
        <rFont val="바탕체"/>
        <family val="1"/>
        <charset val="129"/>
      </rPr>
      <t>①</t>
    </r>
    <phoneticPr fontId="54" type="noConversion"/>
  </si>
  <si>
    <t>2016년도 우정서비스 고객만족도(KPCSI) 목표배정(안)</t>
    <phoneticPr fontId="2" type="noConversion"/>
  </si>
  <si>
    <r>
      <t xml:space="preserve">2016년 우정서비스고객만족도(KPCSI) 목표배정(안) - </t>
    </r>
    <r>
      <rPr>
        <b/>
        <sz val="20"/>
        <color rgb="FFFFC000"/>
        <rFont val="HY헤드라인M"/>
        <family val="1"/>
        <charset val="129"/>
      </rPr>
      <t>&lt;집배&gt;</t>
    </r>
    <phoneticPr fontId="2" type="noConversion"/>
  </si>
  <si>
    <r>
      <t xml:space="preserve">2016년 우정서비스 고객만족도(KPCSI) 목표배정(안) - </t>
    </r>
    <r>
      <rPr>
        <sz val="22"/>
        <color rgb="FFFFC000"/>
        <rFont val="HY헤드라인M"/>
        <family val="1"/>
        <charset val="129"/>
      </rPr>
      <t>&lt;창구종합&gt;</t>
    </r>
    <phoneticPr fontId="54" type="noConversion"/>
  </si>
  <si>
    <t>2그룹
(6국)</t>
    <phoneticPr fontId="2" type="noConversion"/>
  </si>
  <si>
    <t>3그룹
(7국)</t>
    <phoneticPr fontId="2" type="noConversion"/>
  </si>
  <si>
    <t>산출점수
93.5점미만</t>
    <phoneticPr fontId="2" type="noConversion"/>
  </si>
  <si>
    <t>산출점수
94.0점미만</t>
    <phoneticPr fontId="2" type="noConversion"/>
  </si>
  <si>
    <t>산출점수
94.5점미만</t>
    <phoneticPr fontId="2" type="noConversion"/>
  </si>
  <si>
    <t>산출점수
95.0점미만</t>
    <phoneticPr fontId="2" type="noConversion"/>
  </si>
  <si>
    <t>산출점수
95.5점이상</t>
    <phoneticPr fontId="2" type="noConversion"/>
  </si>
  <si>
    <t>지역특성
(군지역)</t>
    <phoneticPr fontId="2" type="noConversion"/>
  </si>
  <si>
    <t>국명</t>
    <phoneticPr fontId="2" type="noConversion"/>
  </si>
  <si>
    <t>2016년
최종목표
(안)</t>
    <phoneticPr fontId="2" type="noConversion"/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</si>
</sst>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_);[Red]\(0.0\)"/>
    <numFmt numFmtId="178" formatCode="0.00_ "/>
    <numFmt numFmtId="179" formatCode="0.0_ "/>
    <numFmt numFmtId="180" formatCode="_-* #,##0.00_-;\-* #,##0.00_-;_-* &quot;-&quot;_-;_-@_-"/>
    <numFmt numFmtId="181" formatCode="0.0;_鰃"/>
    <numFmt numFmtId="182" formatCode="0_);[Red]\(0\)"/>
    <numFmt numFmtId="183" formatCode="#,##0.00_);[Red]\(#,##0.00\)"/>
    <numFmt numFmtId="184" formatCode="_-* #,##0.0_-;\-* #,##0.0_-;_-* &quot;-&quot;??_-;_-@_-"/>
    <numFmt numFmtId="185" formatCode="0.00_);[Red]\(0.00\)"/>
    <numFmt numFmtId="186" formatCode="_ &quot;SFr.&quot;\ * #,##0_ ;_ &quot;SFr.&quot;\ * \-#,##0_ ;_ &quot;SFr.&quot;\ * &quot;-&quot;_ ;_ @_ "/>
    <numFmt numFmtId="187" formatCode="#,##0.000;[Red]&quot;-&quot;#,##0.000"/>
    <numFmt numFmtId="188" formatCode="_ * #,##0_ ;_ * \-#,##0_ ;_ * &quot;-&quot;_ ;_ @_ "/>
    <numFmt numFmtId="189" formatCode="&quot;S&quot;\ #,##0;\-&quot;S&quot;\ #,##0"/>
    <numFmt numFmtId="190" formatCode="_-* #,##0.000_-;\-* #,##0.000_-;_-* &quot;-&quot;_-;_-@_-"/>
  </numFmts>
  <fonts count="7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2"/>
      <color indexed="8"/>
      <name val="한컴 솔잎 B"/>
      <family val="1"/>
      <charset val="129"/>
    </font>
    <font>
      <sz val="11"/>
      <color indexed="8"/>
      <name val="한컴 솔잎 B"/>
      <family val="1"/>
      <charset val="129"/>
    </font>
    <font>
      <b/>
      <sz val="8"/>
      <color rgb="FFFF0000"/>
      <name val="맑은 고딕"/>
      <family val="3"/>
      <charset val="129"/>
    </font>
    <font>
      <sz val="11"/>
      <color indexed="8"/>
      <name val="휴먼명조"/>
      <charset val="129"/>
    </font>
    <font>
      <sz val="11"/>
      <color theme="1"/>
      <name val="휴먼명조"/>
      <charset val="129"/>
    </font>
    <font>
      <b/>
      <sz val="14"/>
      <color theme="0"/>
      <name val="맑은 고딕"/>
      <family val="3"/>
      <charset val="129"/>
    </font>
    <font>
      <sz val="8"/>
      <color theme="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theme="0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theme="1"/>
      <name val="휴먼명조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0"/>
      <color theme="0"/>
      <name val="HY헤드라인M"/>
      <family val="1"/>
      <charset val="129"/>
    </font>
    <font>
      <b/>
      <sz val="20"/>
      <color rgb="FFFFC000"/>
      <name val="HY헤드라인M"/>
      <family val="1"/>
      <charset val="129"/>
    </font>
    <font>
      <b/>
      <sz val="11"/>
      <color theme="1"/>
      <name val="바탕체"/>
      <family val="1"/>
      <charset val="129"/>
    </font>
    <font>
      <sz val="11"/>
      <color rgb="FF0000FF"/>
      <name val="바탕체"/>
      <family val="1"/>
      <charset val="129"/>
    </font>
    <font>
      <sz val="11"/>
      <color theme="1" tint="0.34998626667073579"/>
      <name val="바탕체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바탕체"/>
      <family val="1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sz val="22"/>
      <color theme="0"/>
      <name val="HY헤드라인M"/>
      <family val="1"/>
      <charset val="129"/>
    </font>
    <font>
      <b/>
      <sz val="10"/>
      <color rgb="FF000000"/>
      <name val="바탕체"/>
      <family val="1"/>
      <charset val="129"/>
    </font>
    <font>
      <b/>
      <sz val="20"/>
      <color theme="0"/>
      <name val="바탕체"/>
      <family val="1"/>
      <charset val="129"/>
    </font>
    <font>
      <sz val="10"/>
      <color rgb="FF0000FF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22"/>
      <color rgb="FFFFC000"/>
      <name val="HY헤드라인M"/>
      <family val="1"/>
      <charset val="129"/>
    </font>
    <font>
      <sz val="9"/>
      <color indexed="81"/>
      <name val="Tahoma"/>
      <family val="2"/>
    </font>
    <font>
      <b/>
      <sz val="10"/>
      <color indexed="81"/>
      <name val="돋움"/>
      <family val="3"/>
      <charset val="129"/>
    </font>
  </fonts>
  <fills count="4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1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medium">
        <color indexed="64"/>
      </bottom>
      <diagonal/>
    </border>
    <border>
      <left style="thick">
        <color indexed="12"/>
      </left>
      <right style="thick">
        <color indexed="12"/>
      </right>
      <top/>
      <bottom style="dotted">
        <color indexed="8"/>
      </bottom>
      <diagonal/>
    </border>
    <border>
      <left style="thick">
        <color indexed="12"/>
      </left>
      <right style="thick">
        <color indexed="12"/>
      </right>
      <top style="medium">
        <color indexed="64"/>
      </top>
      <bottom style="medium">
        <color indexed="64"/>
      </bottom>
      <diagonal/>
    </border>
    <border>
      <left style="thick">
        <color indexed="12"/>
      </left>
      <right style="thick">
        <color indexed="12"/>
      </right>
      <top style="medium">
        <color indexed="64"/>
      </top>
      <bottom style="dotted">
        <color indexed="8"/>
      </bottom>
      <diagonal/>
    </border>
    <border>
      <left style="thick">
        <color indexed="12"/>
      </left>
      <right style="thick">
        <color indexed="12"/>
      </right>
      <top style="dotted">
        <color indexed="8"/>
      </top>
      <bottom style="thick">
        <color indexed="1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rgb="FF0000FF"/>
      </left>
      <right style="thick">
        <color rgb="FF0000FF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0000FF"/>
      </left>
      <right style="thick">
        <color rgb="FF0000FF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/>
      <top style="hair">
        <color theme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theme="1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ck">
        <color rgb="FF0000FF"/>
      </left>
      <right style="thick">
        <color rgb="FF0000FF"/>
      </right>
      <top/>
      <bottom style="medium">
        <color indexed="64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/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/>
      <diagonal/>
    </border>
    <border>
      <left/>
      <right style="hair">
        <color theme="1"/>
      </right>
      <top/>
      <bottom/>
      <diagonal/>
    </border>
    <border>
      <left/>
      <right style="hair">
        <color theme="1"/>
      </right>
      <top style="medium">
        <color theme="1"/>
      </top>
      <bottom style="hair">
        <color indexed="64"/>
      </bottom>
      <diagonal/>
    </border>
    <border>
      <left/>
      <right style="hair">
        <color theme="1"/>
      </right>
      <top style="hair">
        <color indexed="64"/>
      </top>
      <bottom style="hair">
        <color indexed="64"/>
      </bottom>
      <diagonal/>
    </border>
    <border>
      <left/>
      <right style="hair">
        <color theme="1"/>
      </right>
      <top style="hair">
        <color indexed="64"/>
      </top>
      <bottom style="medium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 style="hair">
        <color theme="1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theme="1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hair">
        <color theme="1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hair">
        <color theme="1"/>
      </bottom>
      <diagonal/>
    </border>
    <border>
      <left style="thick">
        <color rgb="FFFF0000"/>
      </left>
      <right style="thick">
        <color rgb="FFFF0000"/>
      </right>
      <top style="hair">
        <color theme="1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9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31" borderId="49" applyNumberFormat="0" applyAlignment="0" applyProtection="0">
      <alignment vertical="center"/>
    </xf>
    <xf numFmtId="0" fontId="29" fillId="32" borderId="5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0" borderId="51" applyNumberFormat="0" applyFill="0" applyAlignment="0" applyProtection="0">
      <alignment vertical="center"/>
    </xf>
    <xf numFmtId="0" fontId="33" fillId="0" borderId="52" applyNumberFormat="0" applyFill="0" applyAlignment="0" applyProtection="0">
      <alignment vertical="center"/>
    </xf>
    <xf numFmtId="0" fontId="34" fillId="0" borderId="5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8" borderId="49" applyNumberFormat="0" applyAlignment="0" applyProtection="0">
      <alignment vertical="center"/>
    </xf>
    <xf numFmtId="0" fontId="36" fillId="0" borderId="54" applyNumberFormat="0" applyFill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25" fillId="34" borderId="55" applyNumberFormat="0" applyFont="0" applyAlignment="0" applyProtection="0">
      <alignment vertical="center"/>
    </xf>
    <xf numFmtId="0" fontId="38" fillId="31" borderId="56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7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53" fillId="0" borderId="0"/>
    <xf numFmtId="41" fontId="53" fillId="0" borderId="0" applyFont="0" applyFill="0" applyBorder="0" applyAlignment="0" applyProtection="0">
      <alignment vertical="center"/>
    </xf>
    <xf numFmtId="0" fontId="56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186" fontId="53" fillId="0" borderId="0"/>
    <xf numFmtId="187" fontId="58" fillId="0" borderId="0"/>
    <xf numFmtId="0" fontId="59" fillId="0" borderId="0"/>
    <xf numFmtId="0" fontId="57" fillId="0" borderId="0"/>
    <xf numFmtId="0" fontId="60" fillId="0" borderId="0"/>
    <xf numFmtId="41" fontId="61" fillId="0" borderId="0">
      <alignment vertical="center"/>
    </xf>
    <xf numFmtId="41" fontId="57" fillId="0" borderId="0">
      <alignment vertical="center"/>
    </xf>
    <xf numFmtId="41" fontId="53" fillId="0" borderId="0"/>
    <xf numFmtId="41" fontId="53" fillId="0" borderId="0"/>
    <xf numFmtId="41" fontId="53" fillId="0" borderId="0"/>
    <xf numFmtId="0" fontId="57" fillId="0" borderId="0"/>
    <xf numFmtId="0" fontId="56" fillId="0" borderId="0"/>
    <xf numFmtId="188" fontId="53" fillId="0" borderId="0"/>
    <xf numFmtId="189" fontId="56" fillId="0" borderId="0"/>
    <xf numFmtId="0" fontId="53" fillId="0" borderId="0"/>
    <xf numFmtId="0" fontId="53" fillId="0" borderId="0"/>
    <xf numFmtId="0" fontId="53" fillId="0" borderId="0"/>
  </cellStyleXfs>
  <cellXfs count="799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10" xfId="2" applyNumberFormat="1" applyFont="1" applyFill="1" applyBorder="1" applyAlignment="1" applyProtection="1">
      <alignment horizontal="center" vertical="center" wrapText="1"/>
    </xf>
    <xf numFmtId="2" fontId="9" fillId="0" borderId="10" xfId="2" applyNumberFormat="1" applyFont="1" applyFill="1" applyBorder="1" applyAlignment="1" applyProtection="1">
      <alignment horizontal="center" vertical="center"/>
    </xf>
    <xf numFmtId="0" fontId="9" fillId="5" borderId="10" xfId="2" applyNumberFormat="1" applyFont="1" applyFill="1" applyBorder="1" applyAlignment="1" applyProtection="1">
      <alignment horizontal="center" vertical="center" wrapText="1"/>
    </xf>
    <xf numFmtId="2" fontId="9" fillId="5" borderId="10" xfId="2" applyNumberFormat="1" applyFont="1" applyFill="1" applyBorder="1" applyAlignment="1" applyProtection="1">
      <alignment horizontal="center" vertical="center"/>
    </xf>
    <xf numFmtId="0" fontId="9" fillId="7" borderId="10" xfId="2" applyNumberFormat="1" applyFont="1" applyFill="1" applyBorder="1" applyAlignment="1" applyProtection="1">
      <alignment horizontal="center" vertical="center"/>
    </xf>
    <xf numFmtId="0" fontId="10" fillId="8" borderId="0" xfId="3" applyFont="1" applyFill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11" fillId="0" borderId="0" xfId="3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176" fontId="5" fillId="0" borderId="14" xfId="3" applyNumberFormat="1" applyFont="1" applyFill="1" applyBorder="1" applyAlignment="1">
      <alignment horizontal="center" vertical="center" wrapText="1"/>
    </xf>
    <xf numFmtId="176" fontId="5" fillId="0" borderId="10" xfId="3" quotePrefix="1" applyNumberFormat="1" applyFont="1" applyFill="1" applyBorder="1" applyAlignment="1">
      <alignment horizontal="center" vertical="center" wrapText="1"/>
    </xf>
    <xf numFmtId="177" fontId="5" fillId="0" borderId="10" xfId="3" applyNumberFormat="1" applyFont="1" applyBorder="1" applyAlignment="1">
      <alignment horizontal="center" vertical="center" wrapText="1"/>
    </xf>
    <xf numFmtId="177" fontId="3" fillId="0" borderId="10" xfId="3" applyNumberFormat="1" applyFont="1" applyFill="1" applyBorder="1" applyAlignment="1">
      <alignment horizontal="center" vertical="center" wrapText="1"/>
    </xf>
    <xf numFmtId="181" fontId="3" fillId="0" borderId="10" xfId="3" applyNumberFormat="1" applyFont="1" applyFill="1" applyBorder="1" applyAlignment="1">
      <alignment horizontal="center" vertical="center" wrapText="1"/>
    </xf>
    <xf numFmtId="179" fontId="3" fillId="0" borderId="10" xfId="3" applyNumberFormat="1" applyFont="1" applyFill="1" applyBorder="1" applyAlignment="1">
      <alignment horizontal="center" vertical="center" wrapText="1"/>
    </xf>
    <xf numFmtId="177" fontId="3" fillId="0" borderId="13" xfId="3" applyNumberFormat="1" applyFont="1" applyFill="1" applyBorder="1" applyAlignment="1">
      <alignment horizontal="center" vertical="center" wrapText="1"/>
    </xf>
    <xf numFmtId="176" fontId="3" fillId="0" borderId="10" xfId="3" applyNumberFormat="1" applyFont="1" applyFill="1" applyBorder="1" applyAlignment="1">
      <alignment horizontal="center" vertical="center"/>
    </xf>
    <xf numFmtId="182" fontId="3" fillId="0" borderId="10" xfId="3" applyNumberFormat="1" applyFont="1" applyFill="1" applyBorder="1" applyAlignment="1">
      <alignment horizontal="center" vertical="center"/>
    </xf>
    <xf numFmtId="176" fontId="3" fillId="0" borderId="20" xfId="3" applyNumberFormat="1" applyFont="1" applyFill="1" applyBorder="1" applyAlignment="1">
      <alignment horizontal="center" vertical="center"/>
    </xf>
    <xf numFmtId="182" fontId="3" fillId="0" borderId="20" xfId="3" applyNumberFormat="1" applyFont="1" applyFill="1" applyBorder="1" applyAlignment="1">
      <alignment horizontal="center" vertical="center"/>
    </xf>
    <xf numFmtId="177" fontId="3" fillId="0" borderId="13" xfId="3" applyNumberFormat="1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3" fillId="0" borderId="20" xfId="3" applyFont="1" applyFill="1" applyBorder="1" applyAlignment="1">
      <alignment horizontal="center" vertical="center"/>
    </xf>
    <xf numFmtId="177" fontId="3" fillId="0" borderId="10" xfId="3" applyNumberFormat="1" applyFont="1" applyFill="1" applyBorder="1" applyAlignment="1">
      <alignment horizontal="center" vertical="center"/>
    </xf>
    <xf numFmtId="3" fontId="5" fillId="0" borderId="10" xfId="3" applyNumberFormat="1" applyFont="1" applyFill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 vertical="center"/>
    </xf>
    <xf numFmtId="176" fontId="3" fillId="0" borderId="24" xfId="3" applyNumberFormat="1" applyFont="1" applyFill="1" applyBorder="1" applyAlignment="1">
      <alignment horizontal="center" vertical="center"/>
    </xf>
    <xf numFmtId="3" fontId="5" fillId="0" borderId="23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/>
    </xf>
    <xf numFmtId="177" fontId="3" fillId="0" borderId="23" xfId="3" applyNumberFormat="1" applyFont="1" applyFill="1" applyBorder="1" applyAlignment="1">
      <alignment horizontal="center" vertical="center"/>
    </xf>
    <xf numFmtId="3" fontId="5" fillId="0" borderId="20" xfId="3" applyNumberFormat="1" applyFont="1" applyFill="1" applyBorder="1" applyAlignment="1">
      <alignment horizontal="center" vertical="center" wrapText="1"/>
    </xf>
    <xf numFmtId="177" fontId="5" fillId="0" borderId="20" xfId="3" applyNumberFormat="1" applyFont="1" applyBorder="1" applyAlignment="1">
      <alignment horizontal="center" vertical="center" wrapText="1"/>
    </xf>
    <xf numFmtId="177" fontId="3" fillId="0" borderId="20" xfId="3" applyNumberFormat="1" applyFont="1" applyFill="1" applyBorder="1" applyAlignment="1">
      <alignment horizontal="center" vertical="center"/>
    </xf>
    <xf numFmtId="177" fontId="3" fillId="0" borderId="21" xfId="3" applyNumberFormat="1" applyFont="1" applyFill="1" applyBorder="1" applyAlignment="1">
      <alignment horizontal="center" vertical="center"/>
    </xf>
    <xf numFmtId="182" fontId="3" fillId="0" borderId="16" xfId="3" applyNumberFormat="1" applyFont="1" applyFill="1" applyBorder="1" applyAlignment="1">
      <alignment horizontal="center" vertical="center"/>
    </xf>
    <xf numFmtId="182" fontId="3" fillId="0" borderId="19" xfId="3" applyNumberFormat="1" applyFont="1" applyFill="1" applyBorder="1" applyAlignment="1">
      <alignment horizontal="center" vertical="center"/>
    </xf>
    <xf numFmtId="0" fontId="7" fillId="0" borderId="0" xfId="3" applyAlignment="1">
      <alignment horizontal="center" vertical="center"/>
    </xf>
    <xf numFmtId="3" fontId="5" fillId="0" borderId="0" xfId="3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/>
    </xf>
    <xf numFmtId="177" fontId="3" fillId="0" borderId="0" xfId="3" applyNumberFormat="1" applyFont="1" applyFill="1" applyBorder="1" applyAlignment="1">
      <alignment horizontal="center" vertical="center"/>
    </xf>
    <xf numFmtId="177" fontId="3" fillId="0" borderId="16" xfId="3" applyNumberFormat="1" applyFont="1" applyFill="1" applyBorder="1" applyAlignment="1">
      <alignment horizontal="center" vertical="center"/>
    </xf>
    <xf numFmtId="177" fontId="3" fillId="0" borderId="17" xfId="3" applyNumberFormat="1" applyFont="1" applyFill="1" applyBorder="1" applyAlignment="1">
      <alignment horizontal="center" vertical="center"/>
    </xf>
    <xf numFmtId="179" fontId="3" fillId="0" borderId="13" xfId="3" applyNumberFormat="1" applyFont="1" applyFill="1" applyBorder="1" applyAlignment="1">
      <alignment horizontal="center" vertical="center" wrapText="1"/>
    </xf>
    <xf numFmtId="177" fontId="3" fillId="0" borderId="20" xfId="3" applyNumberFormat="1" applyFont="1" applyFill="1" applyBorder="1" applyAlignment="1">
      <alignment horizontal="center" vertical="center" wrapText="1"/>
    </xf>
    <xf numFmtId="177" fontId="3" fillId="0" borderId="21" xfId="3" applyNumberFormat="1" applyFont="1" applyFill="1" applyBorder="1" applyAlignment="1">
      <alignment horizontal="center" vertical="center" wrapText="1"/>
    </xf>
    <xf numFmtId="177" fontId="3" fillId="0" borderId="9" xfId="3" applyNumberFormat="1" applyFont="1" applyFill="1" applyBorder="1" applyAlignment="1">
      <alignment horizontal="center" vertical="center"/>
    </xf>
    <xf numFmtId="177" fontId="3" fillId="0" borderId="11" xfId="3" applyNumberFormat="1" applyFont="1" applyFill="1" applyBorder="1" applyAlignment="1">
      <alignment horizontal="center" vertical="center"/>
    </xf>
    <xf numFmtId="0" fontId="3" fillId="0" borderId="16" xfId="3" applyFont="1" applyFill="1" applyBorder="1" applyAlignment="1">
      <alignment horizontal="center" vertical="center"/>
    </xf>
    <xf numFmtId="3" fontId="5" fillId="3" borderId="19" xfId="3" applyNumberFormat="1" applyFont="1" applyFill="1" applyBorder="1" applyAlignment="1">
      <alignment horizontal="center" vertical="center" wrapText="1"/>
    </xf>
    <xf numFmtId="0" fontId="3" fillId="3" borderId="19" xfId="3" applyFont="1" applyFill="1" applyBorder="1" applyAlignment="1">
      <alignment horizontal="center" vertical="center"/>
    </xf>
    <xf numFmtId="0" fontId="3" fillId="3" borderId="20" xfId="3" applyFont="1" applyFill="1" applyBorder="1" applyAlignment="1">
      <alignment horizontal="center" vertical="center"/>
    </xf>
    <xf numFmtId="177" fontId="5" fillId="3" borderId="10" xfId="3" applyNumberFormat="1" applyFont="1" applyFill="1" applyBorder="1" applyAlignment="1">
      <alignment horizontal="center" vertical="center" wrapText="1"/>
    </xf>
    <xf numFmtId="177" fontId="3" fillId="3" borderId="20" xfId="3" applyNumberFormat="1" applyFont="1" applyFill="1" applyBorder="1" applyAlignment="1">
      <alignment horizontal="center" vertical="center"/>
    </xf>
    <xf numFmtId="177" fontId="3" fillId="3" borderId="21" xfId="3" applyNumberFormat="1" applyFont="1" applyFill="1" applyBorder="1" applyAlignment="1">
      <alignment horizontal="center" vertical="center"/>
    </xf>
    <xf numFmtId="0" fontId="12" fillId="4" borderId="27" xfId="5" applyNumberFormat="1" applyFont="1" applyFill="1" applyBorder="1" applyAlignment="1" applyProtection="1">
      <alignment horizontal="center" vertical="center"/>
    </xf>
    <xf numFmtId="0" fontId="12" fillId="4" borderId="28" xfId="5" applyNumberFormat="1" applyFont="1" applyFill="1" applyBorder="1" applyAlignment="1" applyProtection="1">
      <alignment horizontal="center" vertical="center"/>
    </xf>
    <xf numFmtId="0" fontId="12" fillId="4" borderId="29" xfId="5" applyNumberFormat="1" applyFont="1" applyFill="1" applyBorder="1" applyAlignment="1" applyProtection="1">
      <alignment horizontal="center" vertical="center"/>
    </xf>
    <xf numFmtId="0" fontId="12" fillId="4" borderId="30" xfId="5" applyNumberFormat="1" applyFont="1" applyFill="1" applyBorder="1" applyAlignment="1" applyProtection="1">
      <alignment horizontal="center" vertical="center"/>
    </xf>
    <xf numFmtId="0" fontId="12" fillId="4" borderId="31" xfId="5" applyNumberFormat="1" applyFont="1" applyFill="1" applyBorder="1" applyAlignment="1" applyProtection="1">
      <alignment horizontal="center" vertical="center"/>
    </xf>
    <xf numFmtId="0" fontId="12" fillId="4" borderId="32" xfId="5" applyNumberFormat="1" applyFont="1" applyFill="1" applyBorder="1" applyAlignment="1" applyProtection="1">
      <alignment horizontal="center" vertical="center"/>
    </xf>
    <xf numFmtId="0" fontId="12" fillId="4" borderId="33" xfId="5" applyNumberFormat="1" applyFont="1" applyFill="1" applyBorder="1" applyAlignment="1" applyProtection="1">
      <alignment horizontal="center" vertical="center" wrapText="1"/>
    </xf>
    <xf numFmtId="2" fontId="13" fillId="0" borderId="34" xfId="5" applyNumberFormat="1" applyFont="1" applyFill="1" applyBorder="1" applyAlignment="1" applyProtection="1">
      <alignment horizontal="center" vertical="center"/>
    </xf>
    <xf numFmtId="178" fontId="13" fillId="4" borderId="35" xfId="5" applyNumberFormat="1" applyFont="1" applyFill="1" applyBorder="1" applyAlignment="1" applyProtection="1">
      <alignment horizontal="center" vertical="center"/>
    </xf>
    <xf numFmtId="178" fontId="12" fillId="4" borderId="36" xfId="5" applyNumberFormat="1" applyFont="1" applyFill="1" applyBorder="1" applyAlignment="1" applyProtection="1">
      <alignment horizontal="center" vertical="center"/>
    </xf>
    <xf numFmtId="178" fontId="12" fillId="4" borderId="37" xfId="5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179" fontId="3" fillId="0" borderId="13" xfId="3" applyNumberFormat="1" applyFont="1" applyFill="1" applyBorder="1" applyAlignment="1">
      <alignment horizontal="center" vertical="center"/>
    </xf>
    <xf numFmtId="177" fontId="5" fillId="0" borderId="10" xfId="3" applyNumberFormat="1" applyFont="1" applyFill="1" applyBorder="1" applyAlignment="1">
      <alignment horizontal="center" vertical="center" wrapText="1"/>
    </xf>
    <xf numFmtId="179" fontId="3" fillId="0" borderId="21" xfId="3" applyNumberFormat="1" applyFont="1" applyFill="1" applyBorder="1" applyAlignment="1">
      <alignment horizontal="center" vertical="center"/>
    </xf>
    <xf numFmtId="3" fontId="14" fillId="0" borderId="10" xfId="3" applyNumberFormat="1" applyFont="1" applyFill="1" applyBorder="1" applyAlignment="1">
      <alignment horizontal="center" vertical="center" wrapText="1"/>
    </xf>
    <xf numFmtId="0" fontId="14" fillId="0" borderId="10" xfId="3" applyFont="1" applyFill="1" applyBorder="1" applyAlignment="1">
      <alignment horizontal="center" vertical="center"/>
    </xf>
    <xf numFmtId="176" fontId="3" fillId="0" borderId="40" xfId="3" applyNumberFormat="1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center" vertical="center"/>
    </xf>
    <xf numFmtId="182" fontId="5" fillId="0" borderId="20" xfId="3" applyNumberFormat="1" applyFont="1" applyFill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182" fontId="5" fillId="0" borderId="10" xfId="3" applyNumberFormat="1" applyFont="1" applyFill="1" applyBorder="1" applyAlignment="1">
      <alignment horizontal="center" vertical="center"/>
    </xf>
    <xf numFmtId="0" fontId="15" fillId="5" borderId="10" xfId="130" applyNumberFormat="1" applyFont="1" applyFill="1" applyBorder="1" applyAlignment="1">
      <alignment horizontal="center" vertical="center"/>
    </xf>
    <xf numFmtId="0" fontId="15" fillId="5" borderId="10" xfId="130" applyNumberFormat="1" applyFont="1" applyFill="1" applyBorder="1" applyAlignment="1" applyProtection="1">
      <alignment horizontal="center" vertical="center"/>
    </xf>
    <xf numFmtId="0" fontId="16" fillId="5" borderId="10" xfId="0" applyFont="1" applyFill="1" applyBorder="1" applyAlignment="1">
      <alignment horizontal="center" vertical="center" wrapText="1"/>
    </xf>
    <xf numFmtId="178" fontId="16" fillId="0" borderId="10" xfId="0" applyNumberFormat="1" applyFont="1" applyBorder="1" applyAlignment="1">
      <alignment horizontal="center" vertical="center"/>
    </xf>
    <xf numFmtId="178" fontId="15" fillId="5" borderId="10" xfId="130" applyNumberFormat="1" applyFont="1" applyFill="1" applyBorder="1" applyAlignment="1" applyProtection="1">
      <alignment horizontal="center" vertical="center"/>
    </xf>
    <xf numFmtId="0" fontId="4" fillId="10" borderId="0" xfId="3" applyFont="1" applyFill="1" applyAlignment="1">
      <alignment horizontal="center" vertical="center"/>
    </xf>
    <xf numFmtId="0" fontId="18" fillId="10" borderId="0" xfId="3" applyFont="1" applyFill="1" applyAlignment="1">
      <alignment horizontal="center" vertical="center"/>
    </xf>
    <xf numFmtId="0" fontId="19" fillId="10" borderId="0" xfId="3" applyFont="1" applyFill="1" applyAlignment="1">
      <alignment horizontal="center" vertical="center"/>
    </xf>
    <xf numFmtId="0" fontId="11" fillId="10" borderId="0" xfId="3" applyFont="1" applyFill="1" applyAlignment="1">
      <alignment horizontal="center" vertical="center"/>
    </xf>
    <xf numFmtId="0" fontId="3" fillId="10" borderId="0" xfId="3" applyFont="1" applyFill="1" applyBorder="1" applyAlignment="1">
      <alignment horizontal="center" vertical="center"/>
    </xf>
    <xf numFmtId="0" fontId="3" fillId="10" borderId="0" xfId="3" applyFont="1" applyFill="1" applyAlignment="1">
      <alignment horizontal="center" vertical="center"/>
    </xf>
    <xf numFmtId="0" fontId="20" fillId="10" borderId="0" xfId="3" applyFont="1" applyFill="1" applyBorder="1" applyAlignment="1">
      <alignment horizontal="center" vertical="center"/>
    </xf>
    <xf numFmtId="0" fontId="11" fillId="10" borderId="0" xfId="3" applyFont="1" applyFill="1" applyBorder="1" applyAlignment="1">
      <alignment horizontal="center" vertical="center"/>
    </xf>
    <xf numFmtId="176" fontId="11" fillId="10" borderId="0" xfId="3" applyNumberFormat="1" applyFont="1" applyFill="1" applyAlignment="1">
      <alignment horizontal="center" vertical="center"/>
    </xf>
    <xf numFmtId="0" fontId="4" fillId="10" borderId="0" xfId="3" applyFont="1" applyFill="1" applyBorder="1" applyAlignment="1">
      <alignment horizontal="center" vertical="center"/>
    </xf>
    <xf numFmtId="0" fontId="18" fillId="10" borderId="0" xfId="3" applyFont="1" applyFill="1" applyBorder="1" applyAlignment="1">
      <alignment horizontal="center" vertical="center"/>
    </xf>
    <xf numFmtId="0" fontId="19" fillId="10" borderId="0" xfId="3" applyFont="1" applyFill="1" applyBorder="1" applyAlignment="1">
      <alignment horizontal="center" vertical="center"/>
    </xf>
    <xf numFmtId="0" fontId="3" fillId="10" borderId="16" xfId="3" applyFont="1" applyFill="1" applyBorder="1" applyAlignment="1">
      <alignment horizontal="center" vertical="center"/>
    </xf>
    <xf numFmtId="177" fontId="22" fillId="11" borderId="42" xfId="3" applyNumberFormat="1" applyFont="1" applyFill="1" applyBorder="1" applyAlignment="1">
      <alignment horizontal="centerContinuous" vertical="center"/>
    </xf>
    <xf numFmtId="177" fontId="22" fillId="11" borderId="43" xfId="3" applyNumberFormat="1" applyFont="1" applyFill="1" applyBorder="1" applyAlignment="1">
      <alignment horizontal="centerContinuous" vertical="center"/>
    </xf>
    <xf numFmtId="0" fontId="22" fillId="11" borderId="43" xfId="3" applyFont="1" applyFill="1" applyBorder="1" applyAlignment="1">
      <alignment horizontal="centerContinuous" vertical="center"/>
    </xf>
    <xf numFmtId="179" fontId="23" fillId="11" borderId="43" xfId="3" applyNumberFormat="1" applyFont="1" applyFill="1" applyBorder="1" applyAlignment="1">
      <alignment horizontal="center" vertical="center"/>
    </xf>
    <xf numFmtId="179" fontId="22" fillId="11" borderId="43" xfId="3" applyNumberFormat="1" applyFont="1" applyFill="1" applyBorder="1" applyAlignment="1">
      <alignment horizontal="center" vertical="center"/>
    </xf>
    <xf numFmtId="179" fontId="22" fillId="11" borderId="44" xfId="3" applyNumberFormat="1" applyFont="1" applyFill="1" applyBorder="1" applyAlignment="1">
      <alignment horizontal="center" vertical="center"/>
    </xf>
    <xf numFmtId="179" fontId="22" fillId="11" borderId="45" xfId="3" applyNumberFormat="1" applyFont="1" applyFill="1" applyBorder="1" applyAlignment="1">
      <alignment horizontal="center" vertical="center"/>
    </xf>
    <xf numFmtId="177" fontId="5" fillId="12" borderId="46" xfId="3" applyNumberFormat="1" applyFont="1" applyFill="1" applyBorder="1" applyAlignment="1">
      <alignment horizontal="centerContinuous" vertical="center" wrapText="1"/>
    </xf>
    <xf numFmtId="177" fontId="5" fillId="12" borderId="47" xfId="3" applyNumberFormat="1" applyFont="1" applyFill="1" applyBorder="1" applyAlignment="1">
      <alignment horizontal="centerContinuous" vertical="center" wrapText="1"/>
    </xf>
    <xf numFmtId="176" fontId="5" fillId="12" borderId="10" xfId="3" quotePrefix="1" applyNumberFormat="1" applyFont="1" applyFill="1" applyBorder="1" applyAlignment="1">
      <alignment horizontal="center" vertical="center" wrapText="1"/>
    </xf>
    <xf numFmtId="177" fontId="24" fillId="12" borderId="10" xfId="3" applyNumberFormat="1" applyFont="1" applyFill="1" applyBorder="1" applyAlignment="1">
      <alignment horizontal="center" vertical="center" wrapText="1"/>
    </xf>
    <xf numFmtId="177" fontId="5" fillId="12" borderId="10" xfId="3" applyNumberFormat="1" applyFont="1" applyFill="1" applyBorder="1" applyAlignment="1">
      <alignment horizontal="center" vertical="center" wrapText="1"/>
    </xf>
    <xf numFmtId="177" fontId="3" fillId="12" borderId="10" xfId="3" applyNumberFormat="1" applyFont="1" applyFill="1" applyBorder="1" applyAlignment="1">
      <alignment horizontal="center" vertical="center" wrapText="1"/>
    </xf>
    <xf numFmtId="181" fontId="3" fillId="12" borderId="10" xfId="3" applyNumberFormat="1" applyFont="1" applyFill="1" applyBorder="1" applyAlignment="1">
      <alignment horizontal="center" vertical="center" wrapText="1"/>
    </xf>
    <xf numFmtId="179" fontId="3" fillId="12" borderId="10" xfId="3" applyNumberFormat="1" applyFont="1" applyFill="1" applyBorder="1" applyAlignment="1">
      <alignment horizontal="center" vertical="center" wrapText="1"/>
    </xf>
    <xf numFmtId="179" fontId="3" fillId="12" borderId="13" xfId="3" applyNumberFormat="1" applyFont="1" applyFill="1" applyBorder="1" applyAlignment="1">
      <alignment horizontal="center" vertical="center"/>
    </xf>
    <xf numFmtId="177" fontId="18" fillId="10" borderId="0" xfId="3" applyNumberFormat="1" applyFont="1" applyFill="1" applyAlignment="1">
      <alignment horizontal="center" vertical="center"/>
    </xf>
    <xf numFmtId="176" fontId="3" fillId="10" borderId="15" xfId="3" applyNumberFormat="1" applyFont="1" applyFill="1" applyBorder="1" applyAlignment="1">
      <alignment horizontal="center" vertical="center"/>
    </xf>
    <xf numFmtId="176" fontId="3" fillId="10" borderId="10" xfId="3" applyNumberFormat="1" applyFont="1" applyFill="1" applyBorder="1" applyAlignment="1">
      <alignment horizontal="center" vertical="center"/>
    </xf>
    <xf numFmtId="182" fontId="3" fillId="10" borderId="10" xfId="3" applyNumberFormat="1" applyFont="1" applyFill="1" applyBorder="1" applyAlignment="1">
      <alignment horizontal="center" vertical="center"/>
    </xf>
    <xf numFmtId="177" fontId="24" fillId="10" borderId="10" xfId="3" applyNumberFormat="1" applyFont="1" applyFill="1" applyBorder="1" applyAlignment="1">
      <alignment horizontal="center" vertical="center" wrapText="1"/>
    </xf>
    <xf numFmtId="177" fontId="5" fillId="10" borderId="10" xfId="3" applyNumberFormat="1" applyFont="1" applyFill="1" applyBorder="1" applyAlignment="1">
      <alignment horizontal="center" vertical="center" wrapText="1"/>
    </xf>
    <xf numFmtId="177" fontId="3" fillId="10" borderId="10" xfId="3" applyNumberFormat="1" applyFont="1" applyFill="1" applyBorder="1" applyAlignment="1">
      <alignment horizontal="center" vertical="center" wrapText="1"/>
    </xf>
    <xf numFmtId="181" fontId="3" fillId="10" borderId="10" xfId="3" applyNumberFormat="1" applyFont="1" applyFill="1" applyBorder="1" applyAlignment="1">
      <alignment horizontal="center" vertical="center" wrapText="1"/>
    </xf>
    <xf numFmtId="179" fontId="3" fillId="10" borderId="10" xfId="3" applyNumberFormat="1" applyFont="1" applyFill="1" applyBorder="1" applyAlignment="1">
      <alignment horizontal="center" vertical="center" wrapText="1"/>
    </xf>
    <xf numFmtId="179" fontId="3" fillId="10" borderId="13" xfId="3" applyNumberFormat="1" applyFont="1" applyFill="1" applyBorder="1" applyAlignment="1">
      <alignment horizontal="center" vertical="center"/>
    </xf>
    <xf numFmtId="176" fontId="3" fillId="10" borderId="7" xfId="3" applyNumberFormat="1" applyFont="1" applyFill="1" applyBorder="1" applyAlignment="1">
      <alignment horizontal="center" vertical="center"/>
    </xf>
    <xf numFmtId="176" fontId="3" fillId="10" borderId="18" xfId="3" applyNumberFormat="1" applyFont="1" applyFill="1" applyBorder="1" applyAlignment="1">
      <alignment horizontal="center" vertical="center"/>
    </xf>
    <xf numFmtId="176" fontId="3" fillId="10" borderId="20" xfId="3" applyNumberFormat="1" applyFont="1" applyFill="1" applyBorder="1" applyAlignment="1">
      <alignment horizontal="center" vertical="center"/>
    </xf>
    <xf numFmtId="182" fontId="3" fillId="10" borderId="20" xfId="3" applyNumberFormat="1" applyFont="1" applyFill="1" applyBorder="1" applyAlignment="1">
      <alignment horizontal="center" vertical="center"/>
    </xf>
    <xf numFmtId="177" fontId="24" fillId="10" borderId="20" xfId="3" applyNumberFormat="1" applyFont="1" applyFill="1" applyBorder="1" applyAlignment="1">
      <alignment horizontal="center" vertical="center" wrapText="1"/>
    </xf>
    <xf numFmtId="177" fontId="5" fillId="10" borderId="20" xfId="3" applyNumberFormat="1" applyFont="1" applyFill="1" applyBorder="1" applyAlignment="1">
      <alignment horizontal="center" vertical="center" wrapText="1"/>
    </xf>
    <xf numFmtId="177" fontId="3" fillId="10" borderId="20" xfId="3" applyNumberFormat="1" applyFont="1" applyFill="1" applyBorder="1" applyAlignment="1">
      <alignment horizontal="center" vertical="center" wrapText="1"/>
    </xf>
    <xf numFmtId="181" fontId="3" fillId="10" borderId="20" xfId="3" applyNumberFormat="1" applyFont="1" applyFill="1" applyBorder="1" applyAlignment="1">
      <alignment horizontal="center" vertical="center" wrapText="1"/>
    </xf>
    <xf numFmtId="179" fontId="3" fillId="10" borderId="20" xfId="3" applyNumberFormat="1" applyFont="1" applyFill="1" applyBorder="1" applyAlignment="1">
      <alignment horizontal="center" vertical="center" wrapText="1"/>
    </xf>
    <xf numFmtId="179" fontId="3" fillId="10" borderId="21" xfId="3" applyNumberFormat="1" applyFont="1" applyFill="1" applyBorder="1" applyAlignment="1">
      <alignment horizontal="center" vertical="center"/>
    </xf>
    <xf numFmtId="177" fontId="5" fillId="12" borderId="48" xfId="3" applyNumberFormat="1" applyFont="1" applyFill="1" applyBorder="1" applyAlignment="1">
      <alignment horizontal="centerContinuous" vertical="center" wrapText="1"/>
    </xf>
    <xf numFmtId="177" fontId="5" fillId="12" borderId="5" xfId="3" applyNumberFormat="1" applyFont="1" applyFill="1" applyBorder="1" applyAlignment="1">
      <alignment horizontal="centerContinuous" vertical="center" wrapText="1"/>
    </xf>
    <xf numFmtId="177" fontId="3" fillId="12" borderId="10" xfId="3" applyNumberFormat="1" applyFont="1" applyFill="1" applyBorder="1" applyAlignment="1">
      <alignment horizontal="center" vertical="center"/>
    </xf>
    <xf numFmtId="0" fontId="3" fillId="10" borderId="10" xfId="3" applyFont="1" applyFill="1" applyBorder="1" applyAlignment="1">
      <alignment horizontal="center" vertical="center"/>
    </xf>
    <xf numFmtId="177" fontId="3" fillId="10" borderId="10" xfId="3" applyNumberFormat="1" applyFont="1" applyFill="1" applyBorder="1" applyAlignment="1">
      <alignment horizontal="center" vertical="center"/>
    </xf>
    <xf numFmtId="0" fontId="3" fillId="10" borderId="20" xfId="3" applyFont="1" applyFill="1" applyBorder="1" applyAlignment="1">
      <alignment horizontal="center" vertical="center"/>
    </xf>
    <xf numFmtId="177" fontId="3" fillId="10" borderId="20" xfId="3" applyNumberFormat="1" applyFont="1" applyFill="1" applyBorder="1" applyAlignment="1">
      <alignment horizontal="center" vertical="center"/>
    </xf>
    <xf numFmtId="3" fontId="5" fillId="10" borderId="10" xfId="3" applyNumberFormat="1" applyFont="1" applyFill="1" applyBorder="1" applyAlignment="1">
      <alignment horizontal="center" vertical="center" wrapText="1"/>
    </xf>
    <xf numFmtId="3" fontId="5" fillId="10" borderId="20" xfId="3" applyNumberFormat="1" applyFont="1" applyFill="1" applyBorder="1" applyAlignment="1">
      <alignment horizontal="center" vertical="center" wrapText="1"/>
    </xf>
    <xf numFmtId="3" fontId="5" fillId="10" borderId="16" xfId="3" applyNumberFormat="1" applyFont="1" applyFill="1" applyBorder="1" applyAlignment="1">
      <alignment horizontal="center" vertical="center" wrapText="1"/>
    </xf>
    <xf numFmtId="182" fontId="3" fillId="10" borderId="16" xfId="3" applyNumberFormat="1" applyFont="1" applyFill="1" applyBorder="1" applyAlignment="1">
      <alignment horizontal="center" vertical="center"/>
    </xf>
    <xf numFmtId="177" fontId="24" fillId="10" borderId="16" xfId="3" applyNumberFormat="1" applyFont="1" applyFill="1" applyBorder="1" applyAlignment="1">
      <alignment horizontal="center" vertical="center" wrapText="1"/>
    </xf>
    <xf numFmtId="177" fontId="5" fillId="10" borderId="16" xfId="3" applyNumberFormat="1" applyFont="1" applyFill="1" applyBorder="1" applyAlignment="1">
      <alignment horizontal="center" vertical="center" wrapText="1"/>
    </xf>
    <xf numFmtId="177" fontId="3" fillId="10" borderId="16" xfId="3" applyNumberFormat="1" applyFont="1" applyFill="1" applyBorder="1" applyAlignment="1">
      <alignment horizontal="center" vertical="center"/>
    </xf>
    <xf numFmtId="179" fontId="3" fillId="10" borderId="17" xfId="3" applyNumberFormat="1" applyFont="1" applyFill="1" applyBorder="1" applyAlignment="1">
      <alignment horizontal="center" vertical="center"/>
    </xf>
    <xf numFmtId="0" fontId="3" fillId="10" borderId="15" xfId="3" applyFont="1" applyFill="1" applyBorder="1" applyAlignment="1">
      <alignment horizontal="center" vertical="center"/>
    </xf>
    <xf numFmtId="0" fontId="3" fillId="10" borderId="7" xfId="3" applyFont="1" applyFill="1" applyBorder="1" applyAlignment="1">
      <alignment horizontal="center" vertical="center"/>
    </xf>
    <xf numFmtId="0" fontId="3" fillId="10" borderId="18" xfId="3" applyFont="1" applyFill="1" applyBorder="1" applyAlignment="1">
      <alignment horizontal="center" vertical="center"/>
    </xf>
    <xf numFmtId="0" fontId="5" fillId="10" borderId="20" xfId="3" applyFont="1" applyFill="1" applyBorder="1" applyAlignment="1">
      <alignment horizontal="center" vertical="center"/>
    </xf>
    <xf numFmtId="182" fontId="5" fillId="10" borderId="20" xfId="3" applyNumberFormat="1" applyFont="1" applyFill="1" applyBorder="1" applyAlignment="1">
      <alignment horizontal="center" vertical="center"/>
    </xf>
    <xf numFmtId="0" fontId="5" fillId="10" borderId="10" xfId="3" applyFont="1" applyFill="1" applyBorder="1" applyAlignment="1">
      <alignment horizontal="center" vertical="center"/>
    </xf>
    <xf numFmtId="182" fontId="5" fillId="10" borderId="10" xfId="3" applyNumberFormat="1" applyFont="1" applyFill="1" applyBorder="1" applyAlignment="1">
      <alignment horizontal="center" vertical="center"/>
    </xf>
    <xf numFmtId="176" fontId="20" fillId="10" borderId="0" xfId="3" applyNumberFormat="1" applyFont="1" applyFill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58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42" fillId="2" borderId="14" xfId="0" applyFont="1" applyFill="1" applyBorder="1" applyAlignment="1">
      <alignment horizontal="center" vertical="center"/>
    </xf>
    <xf numFmtId="0" fontId="42" fillId="2" borderId="39" xfId="0" applyFont="1" applyFill="1" applyBorder="1" applyAlignment="1">
      <alignment horizontal="center" vertical="center"/>
    </xf>
    <xf numFmtId="180" fontId="16" fillId="6" borderId="59" xfId="1" applyNumberFormat="1" applyFont="1" applyFill="1" applyBorder="1" applyAlignment="1">
      <alignment horizontal="center" vertical="center"/>
    </xf>
    <xf numFmtId="180" fontId="16" fillId="0" borderId="60" xfId="1" applyNumberFormat="1" applyFont="1" applyBorder="1">
      <alignment vertical="center"/>
    </xf>
    <xf numFmtId="180" fontId="16" fillId="0" borderId="61" xfId="1" applyNumberFormat="1" applyFont="1" applyBorder="1">
      <alignment vertical="center"/>
    </xf>
    <xf numFmtId="180" fontId="42" fillId="2" borderId="61" xfId="1" applyNumberFormat="1" applyFont="1" applyFill="1" applyBorder="1">
      <alignment vertical="center"/>
    </xf>
    <xf numFmtId="180" fontId="42" fillId="2" borderId="62" xfId="1" applyNumberFormat="1" applyFont="1" applyFill="1" applyBorder="1">
      <alignment vertical="center"/>
    </xf>
    <xf numFmtId="180" fontId="4" fillId="10" borderId="0" xfId="1" applyNumberFormat="1" applyFont="1" applyFill="1" applyAlignment="1">
      <alignment horizontal="center" vertical="center"/>
    </xf>
    <xf numFmtId="0" fontId="5" fillId="10" borderId="0" xfId="3" applyFont="1" applyFill="1" applyAlignment="1">
      <alignment horizontal="center" vertical="center"/>
    </xf>
    <xf numFmtId="0" fontId="5" fillId="10" borderId="0" xfId="3" applyFont="1" applyFill="1" applyBorder="1" applyAlignment="1">
      <alignment horizontal="center" vertical="center"/>
    </xf>
    <xf numFmtId="0" fontId="5" fillId="10" borderId="64" xfId="3" applyFont="1" applyFill="1" applyBorder="1" applyAlignment="1">
      <alignment horizontal="center" vertical="center"/>
    </xf>
    <xf numFmtId="180" fontId="5" fillId="10" borderId="64" xfId="1" applyNumberFormat="1" applyFont="1" applyFill="1" applyBorder="1" applyAlignment="1">
      <alignment horizontal="center" vertical="center"/>
    </xf>
    <xf numFmtId="180" fontId="5" fillId="10" borderId="65" xfId="1" applyNumberFormat="1" applyFont="1" applyFill="1" applyBorder="1" applyAlignment="1">
      <alignment horizontal="center" vertical="center"/>
    </xf>
    <xf numFmtId="0" fontId="5" fillId="7" borderId="63" xfId="3" applyFont="1" applyFill="1" applyBorder="1" applyAlignment="1">
      <alignment horizontal="center" vertical="center"/>
    </xf>
    <xf numFmtId="0" fontId="3" fillId="2" borderId="0" xfId="3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center" vertical="center"/>
    </xf>
    <xf numFmtId="179" fontId="3" fillId="0" borderId="0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43" fillId="0" borderId="0" xfId="3" applyFont="1" applyAlignment="1">
      <alignment horizontal="center" vertical="center"/>
    </xf>
    <xf numFmtId="0" fontId="15" fillId="5" borderId="47" xfId="130" applyNumberFormat="1" applyFont="1" applyFill="1" applyBorder="1" applyAlignment="1">
      <alignment horizontal="center" vertical="center"/>
    </xf>
    <xf numFmtId="0" fontId="15" fillId="5" borderId="47" xfId="130" applyNumberFormat="1" applyFont="1" applyFill="1" applyBorder="1" applyAlignment="1" applyProtection="1">
      <alignment horizontal="center" vertical="center"/>
    </xf>
    <xf numFmtId="0" fontId="3" fillId="0" borderId="63" xfId="3" applyFont="1" applyFill="1" applyBorder="1" applyAlignment="1">
      <alignment horizontal="center" vertical="center"/>
    </xf>
    <xf numFmtId="0" fontId="3" fillId="0" borderId="64" xfId="3" applyFont="1" applyFill="1" applyBorder="1" applyAlignment="1">
      <alignment horizontal="center" vertical="center"/>
    </xf>
    <xf numFmtId="180" fontId="3" fillId="0" borderId="64" xfId="1" applyNumberFormat="1" applyFont="1" applyFill="1" applyBorder="1" applyAlignment="1">
      <alignment horizontal="center" vertical="center"/>
    </xf>
    <xf numFmtId="180" fontId="3" fillId="0" borderId="65" xfId="1" applyNumberFormat="1" applyFont="1" applyFill="1" applyBorder="1" applyAlignment="1">
      <alignment horizontal="center" vertical="center"/>
    </xf>
    <xf numFmtId="0" fontId="3" fillId="6" borderId="65" xfId="3" applyFont="1" applyFill="1" applyBorder="1" applyAlignment="1">
      <alignment horizontal="center" vertical="center"/>
    </xf>
    <xf numFmtId="178" fontId="3" fillId="0" borderId="64" xfId="3" applyNumberFormat="1" applyFont="1" applyFill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0" borderId="0" xfId="0" applyFont="1">
      <alignment vertical="center"/>
    </xf>
    <xf numFmtId="180" fontId="44" fillId="0" borderId="68" xfId="1" applyNumberFormat="1" applyFont="1" applyBorder="1">
      <alignment vertical="center"/>
    </xf>
    <xf numFmtId="180" fontId="44" fillId="0" borderId="69" xfId="1" applyNumberFormat="1" applyFont="1" applyBorder="1">
      <alignment vertical="center"/>
    </xf>
    <xf numFmtId="180" fontId="44" fillId="0" borderId="70" xfId="1" applyNumberFormat="1" applyFont="1" applyBorder="1">
      <alignment vertical="center"/>
    </xf>
    <xf numFmtId="180" fontId="44" fillId="6" borderId="68" xfId="1" applyNumberFormat="1" applyFont="1" applyFill="1" applyBorder="1">
      <alignment vertical="center"/>
    </xf>
    <xf numFmtId="180" fontId="44" fillId="6" borderId="69" xfId="1" applyNumberFormat="1" applyFont="1" applyFill="1" applyBorder="1">
      <alignment vertical="center"/>
    </xf>
    <xf numFmtId="180" fontId="44" fillId="6" borderId="70" xfId="1" applyNumberFormat="1" applyFont="1" applyFill="1" applyBorder="1">
      <alignment vertical="center"/>
    </xf>
    <xf numFmtId="0" fontId="44" fillId="35" borderId="68" xfId="0" applyFont="1" applyFill="1" applyBorder="1" applyAlignment="1">
      <alignment horizontal="center" vertical="center"/>
    </xf>
    <xf numFmtId="0" fontId="44" fillId="35" borderId="69" xfId="0" applyFont="1" applyFill="1" applyBorder="1" applyAlignment="1">
      <alignment horizontal="center" vertical="center"/>
    </xf>
    <xf numFmtId="0" fontId="44" fillId="35" borderId="70" xfId="0" applyFont="1" applyFill="1" applyBorder="1" applyAlignment="1">
      <alignment horizontal="center" vertical="center"/>
    </xf>
    <xf numFmtId="0" fontId="44" fillId="35" borderId="67" xfId="0" applyFont="1" applyFill="1" applyBorder="1" applyAlignment="1">
      <alignment horizontal="center" vertical="center"/>
    </xf>
    <xf numFmtId="180" fontId="44" fillId="0" borderId="69" xfId="1" applyNumberFormat="1" applyFont="1" applyBorder="1" applyAlignment="1">
      <alignment horizontal="center" vertical="center"/>
    </xf>
    <xf numFmtId="180" fontId="44" fillId="0" borderId="70" xfId="1" applyNumberFormat="1" applyFont="1" applyBorder="1" applyAlignment="1">
      <alignment horizontal="center" vertical="center"/>
    </xf>
    <xf numFmtId="0" fontId="44" fillId="36" borderId="10" xfId="0" applyFont="1" applyFill="1" applyBorder="1" applyAlignment="1">
      <alignment horizontal="center" vertical="center"/>
    </xf>
    <xf numFmtId="0" fontId="44" fillId="36" borderId="68" xfId="0" applyFont="1" applyFill="1" applyBorder="1" applyAlignment="1">
      <alignment horizontal="center" vertical="center"/>
    </xf>
    <xf numFmtId="0" fontId="44" fillId="36" borderId="69" xfId="0" applyFont="1" applyFill="1" applyBorder="1" applyAlignment="1">
      <alignment horizontal="center" vertical="center"/>
    </xf>
    <xf numFmtId="180" fontId="44" fillId="36" borderId="69" xfId="1" applyNumberFormat="1" applyFont="1" applyFill="1" applyBorder="1" applyAlignment="1">
      <alignment horizontal="center" vertical="center"/>
    </xf>
    <xf numFmtId="180" fontId="44" fillId="36" borderId="70" xfId="1" applyNumberFormat="1" applyFont="1" applyFill="1" applyBorder="1" applyAlignment="1">
      <alignment horizontal="center" vertical="center"/>
    </xf>
    <xf numFmtId="180" fontId="44" fillId="36" borderId="68" xfId="1" applyNumberFormat="1" applyFont="1" applyFill="1" applyBorder="1">
      <alignment vertical="center"/>
    </xf>
    <xf numFmtId="180" fontId="44" fillId="36" borderId="69" xfId="1" applyNumberFormat="1" applyFont="1" applyFill="1" applyBorder="1">
      <alignment vertical="center"/>
    </xf>
    <xf numFmtId="180" fontId="44" fillId="36" borderId="70" xfId="1" applyNumberFormat="1" applyFont="1" applyFill="1" applyBorder="1">
      <alignment vertical="center"/>
    </xf>
    <xf numFmtId="180" fontId="44" fillId="0" borderId="68" xfId="1" applyNumberFormat="1" applyFont="1" applyBorder="1" applyAlignment="1">
      <alignment horizontal="center" vertical="center"/>
    </xf>
    <xf numFmtId="0" fontId="44" fillId="36" borderId="67" xfId="0" applyFont="1" applyFill="1" applyBorder="1" applyAlignment="1">
      <alignment horizontal="center" vertical="center"/>
    </xf>
    <xf numFmtId="180" fontId="44" fillId="0" borderId="67" xfId="1" applyNumberFormat="1" applyFont="1" applyBorder="1" applyAlignment="1">
      <alignment horizontal="center" vertical="center"/>
    </xf>
    <xf numFmtId="0" fontId="45" fillId="0" borderId="0" xfId="0" applyFont="1">
      <alignment vertical="center"/>
    </xf>
    <xf numFmtId="0" fontId="45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20" fontId="45" fillId="6" borderId="16" xfId="0" applyNumberFormat="1" applyFont="1" applyFill="1" applyBorder="1" applyAlignment="1">
      <alignment horizontal="center" vertical="center"/>
    </xf>
    <xf numFmtId="0" fontId="45" fillId="6" borderId="71" xfId="0" applyFont="1" applyFill="1" applyBorder="1" applyAlignment="1">
      <alignment horizontal="center" vertical="center"/>
    </xf>
    <xf numFmtId="20" fontId="45" fillId="6" borderId="71" xfId="0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6" borderId="72" xfId="0" applyFont="1" applyFill="1" applyBorder="1" applyAlignment="1">
      <alignment horizontal="center" vertical="center"/>
    </xf>
    <xf numFmtId="0" fontId="45" fillId="6" borderId="73" xfId="0" applyFont="1" applyFill="1" applyBorder="1" applyAlignment="1">
      <alignment horizontal="center" vertical="center"/>
    </xf>
    <xf numFmtId="0" fontId="50" fillId="6" borderId="74" xfId="0" applyFont="1" applyFill="1" applyBorder="1" applyAlignment="1">
      <alignment horizontal="center" vertical="center"/>
    </xf>
    <xf numFmtId="0" fontId="50" fillId="6" borderId="75" xfId="0" applyFont="1" applyFill="1" applyBorder="1" applyAlignment="1">
      <alignment horizontal="center" vertical="center"/>
    </xf>
    <xf numFmtId="184" fontId="50" fillId="0" borderId="47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45" fillId="0" borderId="14" xfId="0" applyFont="1" applyBorder="1" applyAlignment="1">
      <alignment horizontal="distributed" vertical="center" indent="1"/>
    </xf>
    <xf numFmtId="0" fontId="45" fillId="0" borderId="39" xfId="0" applyFont="1" applyBorder="1" applyAlignment="1">
      <alignment horizontal="distributed" vertical="center" indent="1"/>
    </xf>
    <xf numFmtId="0" fontId="45" fillId="6" borderId="10" xfId="0" applyFont="1" applyFill="1" applyBorder="1" applyAlignment="1">
      <alignment horizontal="center" vertical="center"/>
    </xf>
    <xf numFmtId="0" fontId="45" fillId="35" borderId="10" xfId="0" applyFont="1" applyFill="1" applyBorder="1" applyAlignment="1">
      <alignment horizontal="center" vertical="center"/>
    </xf>
    <xf numFmtId="178" fontId="45" fillId="2" borderId="10" xfId="0" applyNumberFormat="1" applyFont="1" applyFill="1" applyBorder="1" applyAlignment="1">
      <alignment horizontal="right" vertical="center"/>
    </xf>
    <xf numFmtId="184" fontId="50" fillId="2" borderId="47" xfId="0" applyNumberFormat="1" applyFont="1" applyFill="1" applyBorder="1" applyAlignment="1">
      <alignment horizontal="center" vertical="center"/>
    </xf>
    <xf numFmtId="183" fontId="45" fillId="2" borderId="10" xfId="0" applyNumberFormat="1" applyFont="1" applyFill="1" applyBorder="1" applyAlignment="1">
      <alignment horizontal="center" vertical="center"/>
    </xf>
    <xf numFmtId="178" fontId="45" fillId="38" borderId="10" xfId="0" applyNumberFormat="1" applyFont="1" applyFill="1" applyBorder="1" applyAlignment="1">
      <alignment horizontal="right" vertical="center"/>
    </xf>
    <xf numFmtId="184" fontId="50" fillId="38" borderId="47" xfId="0" applyNumberFormat="1" applyFont="1" applyFill="1" applyBorder="1" applyAlignment="1">
      <alignment horizontal="center" vertical="center"/>
    </xf>
    <xf numFmtId="183" fontId="45" fillId="38" borderId="10" xfId="0" applyNumberFormat="1" applyFont="1" applyFill="1" applyBorder="1" applyAlignment="1">
      <alignment horizontal="center" vertical="center"/>
    </xf>
    <xf numFmtId="178" fontId="45" fillId="35" borderId="10" xfId="0" applyNumberFormat="1" applyFont="1" applyFill="1" applyBorder="1" applyAlignment="1">
      <alignment horizontal="right" vertical="center"/>
    </xf>
    <xf numFmtId="178" fontId="45" fillId="6" borderId="10" xfId="0" applyNumberFormat="1" applyFont="1" applyFill="1" applyBorder="1" applyAlignment="1">
      <alignment horizontal="right" vertical="center"/>
    </xf>
    <xf numFmtId="184" fontId="50" fillId="6" borderId="47" xfId="0" applyNumberFormat="1" applyFont="1" applyFill="1" applyBorder="1" applyAlignment="1">
      <alignment horizontal="center" vertical="center"/>
    </xf>
    <xf numFmtId="183" fontId="45" fillId="6" borderId="10" xfId="0" applyNumberFormat="1" applyFont="1" applyFill="1" applyBorder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178" fontId="50" fillId="0" borderId="10" xfId="0" applyNumberFormat="1" applyFont="1" applyBorder="1" applyAlignment="1">
      <alignment horizontal="right" vertical="center"/>
    </xf>
    <xf numFmtId="183" fontId="50" fillId="0" borderId="10" xfId="0" applyNumberFormat="1" applyFont="1" applyBorder="1" applyAlignment="1">
      <alignment horizontal="center" vertical="center"/>
    </xf>
    <xf numFmtId="0" fontId="45" fillId="38" borderId="10" xfId="0" applyFont="1" applyFill="1" applyBorder="1" applyAlignment="1">
      <alignment horizontal="distributed" vertical="center" indent="1"/>
    </xf>
    <xf numFmtId="0" fontId="45" fillId="35" borderId="10" xfId="0" applyFont="1" applyFill="1" applyBorder="1" applyAlignment="1">
      <alignment horizontal="distributed" vertical="center" indent="1"/>
    </xf>
    <xf numFmtId="0" fontId="45" fillId="6" borderId="10" xfId="0" applyFont="1" applyFill="1" applyBorder="1" applyAlignment="1">
      <alignment horizontal="distributed" vertical="center" indent="1"/>
    </xf>
    <xf numFmtId="0" fontId="45" fillId="2" borderId="10" xfId="0" applyFont="1" applyFill="1" applyBorder="1" applyAlignment="1">
      <alignment horizontal="distributed" vertical="center" indent="1"/>
    </xf>
    <xf numFmtId="0" fontId="50" fillId="0" borderId="10" xfId="0" applyFont="1" applyBorder="1" applyAlignment="1">
      <alignment horizontal="distributed" vertical="center" indent="1"/>
    </xf>
    <xf numFmtId="0" fontId="52" fillId="0" borderId="0" xfId="0" applyFont="1" applyAlignment="1">
      <alignment horizontal="center" vertical="center"/>
    </xf>
    <xf numFmtId="0" fontId="45" fillId="0" borderId="0" xfId="0" applyFont="1" applyAlignment="1">
      <alignment horizontal="right" vertical="center"/>
    </xf>
    <xf numFmtId="0" fontId="55" fillId="0" borderId="0" xfId="194" applyFont="1" applyAlignment="1">
      <alignment horizontal="center" vertical="center"/>
    </xf>
    <xf numFmtId="0" fontId="55" fillId="2" borderId="10" xfId="194" applyFont="1" applyFill="1" applyBorder="1" applyAlignment="1">
      <alignment horizontal="center" vertical="center"/>
    </xf>
    <xf numFmtId="185" fontId="55" fillId="2" borderId="10" xfId="194" applyNumberFormat="1" applyFont="1" applyFill="1" applyBorder="1" applyAlignment="1">
      <alignment horizontal="center" vertical="center"/>
    </xf>
    <xf numFmtId="0" fontId="55" fillId="3" borderId="10" xfId="194" applyFont="1" applyFill="1" applyBorder="1" applyAlignment="1">
      <alignment horizontal="center" vertical="center"/>
    </xf>
    <xf numFmtId="185" fontId="55" fillId="3" borderId="10" xfId="194" applyNumberFormat="1" applyFont="1" applyFill="1" applyBorder="1" applyAlignment="1">
      <alignment horizontal="center" vertical="center"/>
    </xf>
    <xf numFmtId="0" fontId="55" fillId="40" borderId="10" xfId="194" applyFont="1" applyFill="1" applyBorder="1" applyAlignment="1">
      <alignment horizontal="center" vertical="center"/>
    </xf>
    <xf numFmtId="185" fontId="55" fillId="40" borderId="10" xfId="194" applyNumberFormat="1" applyFont="1" applyFill="1" applyBorder="1" applyAlignment="1">
      <alignment horizontal="center" vertical="center"/>
    </xf>
    <xf numFmtId="0" fontId="45" fillId="12" borderId="10" xfId="0" applyFont="1" applyFill="1" applyBorder="1" applyAlignment="1">
      <alignment horizontal="distributed" vertical="center" indent="1"/>
    </xf>
    <xf numFmtId="0" fontId="45" fillId="12" borderId="10" xfId="0" applyFont="1" applyFill="1" applyBorder="1" applyAlignment="1">
      <alignment horizontal="center" vertical="center"/>
    </xf>
    <xf numFmtId="180" fontId="45" fillId="0" borderId="10" xfId="1" applyNumberFormat="1" applyFont="1" applyBorder="1" applyAlignment="1">
      <alignment horizontal="center" vertical="center"/>
    </xf>
    <xf numFmtId="180" fontId="45" fillId="0" borderId="10" xfId="1" applyNumberFormat="1" applyFont="1" applyBorder="1">
      <alignment vertical="center"/>
    </xf>
    <xf numFmtId="178" fontId="45" fillId="0" borderId="10" xfId="1" applyNumberFormat="1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180" fontId="44" fillId="0" borderId="68" xfId="1" applyNumberFormat="1" applyFont="1" applyFill="1" applyBorder="1" applyAlignment="1">
      <alignment horizontal="center" vertical="center"/>
    </xf>
    <xf numFmtId="180" fontId="44" fillId="0" borderId="69" xfId="1" applyNumberFormat="1" applyFont="1" applyFill="1" applyBorder="1" applyAlignment="1">
      <alignment horizontal="center" vertical="center"/>
    </xf>
    <xf numFmtId="180" fontId="44" fillId="0" borderId="67" xfId="1" applyNumberFormat="1" applyFont="1" applyFill="1" applyBorder="1" applyAlignment="1">
      <alignment horizontal="center" vertical="center"/>
    </xf>
    <xf numFmtId="180" fontId="44" fillId="0" borderId="70" xfId="1" applyNumberFormat="1" applyFont="1" applyFill="1" applyBorder="1" applyAlignment="1">
      <alignment horizontal="center" vertical="center"/>
    </xf>
    <xf numFmtId="180" fontId="44" fillId="0" borderId="68" xfId="1" applyNumberFormat="1" applyFont="1" applyFill="1" applyBorder="1">
      <alignment vertical="center"/>
    </xf>
    <xf numFmtId="180" fontId="44" fillId="0" borderId="69" xfId="1" applyNumberFormat="1" applyFont="1" applyFill="1" applyBorder="1">
      <alignment vertical="center"/>
    </xf>
    <xf numFmtId="180" fontId="44" fillId="0" borderId="70" xfId="1" applyNumberFormat="1" applyFont="1" applyFill="1" applyBorder="1">
      <alignment vertical="center"/>
    </xf>
    <xf numFmtId="0" fontId="0" fillId="0" borderId="0" xfId="0" applyFill="1">
      <alignment vertical="center"/>
    </xf>
    <xf numFmtId="180" fontId="45" fillId="35" borderId="10" xfId="1" applyNumberFormat="1" applyFont="1" applyFill="1" applyBorder="1" applyAlignment="1">
      <alignment horizontal="right" vertical="center"/>
    </xf>
    <xf numFmtId="180" fontId="45" fillId="35" borderId="66" xfId="1" applyNumberFormat="1" applyFont="1" applyFill="1" applyBorder="1" applyAlignment="1">
      <alignment horizontal="right" vertical="center"/>
    </xf>
    <xf numFmtId="180" fontId="45" fillId="2" borderId="10" xfId="1" applyNumberFormat="1" applyFont="1" applyFill="1" applyBorder="1" applyAlignment="1">
      <alignment horizontal="right" vertical="center"/>
    </xf>
    <xf numFmtId="180" fontId="45" fillId="2" borderId="66" xfId="1" applyNumberFormat="1" applyFont="1" applyFill="1" applyBorder="1" applyAlignment="1">
      <alignment horizontal="right" vertical="center"/>
    </xf>
    <xf numFmtId="0" fontId="45" fillId="40" borderId="10" xfId="0" applyFont="1" applyFill="1" applyBorder="1" applyAlignment="1">
      <alignment horizontal="center" vertical="center"/>
    </xf>
    <xf numFmtId="180" fontId="45" fillId="40" borderId="10" xfId="1" applyNumberFormat="1" applyFont="1" applyFill="1" applyBorder="1" applyAlignment="1">
      <alignment horizontal="right" vertical="center"/>
    </xf>
    <xf numFmtId="180" fontId="45" fillId="40" borderId="66" xfId="1" applyNumberFormat="1" applyFont="1" applyFill="1" applyBorder="1" applyAlignment="1">
      <alignment horizontal="right" vertical="center"/>
    </xf>
    <xf numFmtId="178" fontId="45" fillId="40" borderId="10" xfId="0" applyNumberFormat="1" applyFont="1" applyFill="1" applyBorder="1" applyAlignment="1">
      <alignment horizontal="right" vertical="center"/>
    </xf>
    <xf numFmtId="0" fontId="45" fillId="0" borderId="10" xfId="0" applyFont="1" applyFill="1" applyBorder="1" applyAlignment="1">
      <alignment horizontal="distributed" vertical="center" indent="1"/>
    </xf>
    <xf numFmtId="0" fontId="45" fillId="0" borderId="10" xfId="0" applyFont="1" applyFill="1" applyBorder="1" applyAlignment="1">
      <alignment horizontal="center" vertical="center"/>
    </xf>
    <xf numFmtId="180" fontId="45" fillId="0" borderId="10" xfId="1" applyNumberFormat="1" applyFont="1" applyFill="1" applyBorder="1" applyAlignment="1">
      <alignment horizontal="right" vertical="center"/>
    </xf>
    <xf numFmtId="0" fontId="45" fillId="12" borderId="10" xfId="0" applyFont="1" applyFill="1" applyBorder="1" applyAlignment="1">
      <alignment horizontal="center" vertical="center"/>
    </xf>
    <xf numFmtId="180" fontId="45" fillId="12" borderId="10" xfId="0" applyNumberFormat="1" applyFont="1" applyFill="1" applyBorder="1" applyAlignment="1">
      <alignment horizontal="right" vertical="center"/>
    </xf>
    <xf numFmtId="183" fontId="45" fillId="0" borderId="10" xfId="0" applyNumberFormat="1" applyFont="1" applyBorder="1">
      <alignment vertical="center"/>
    </xf>
    <xf numFmtId="183" fontId="45" fillId="12" borderId="10" xfId="0" applyNumberFormat="1" applyFont="1" applyFill="1" applyBorder="1">
      <alignment vertical="center"/>
    </xf>
    <xf numFmtId="180" fontId="45" fillId="12" borderId="10" xfId="1" applyNumberFormat="1" applyFont="1" applyFill="1" applyBorder="1">
      <alignment vertical="center"/>
    </xf>
    <xf numFmtId="0" fontId="45" fillId="12" borderId="66" xfId="0" applyFont="1" applyFill="1" applyBorder="1" applyAlignment="1">
      <alignment horizontal="center" vertical="center"/>
    </xf>
    <xf numFmtId="0" fontId="63" fillId="0" borderId="0" xfId="194" applyFont="1" applyAlignment="1">
      <alignment horizontal="center" vertical="center"/>
    </xf>
    <xf numFmtId="0" fontId="63" fillId="6" borderId="102" xfId="194" applyFont="1" applyFill="1" applyBorder="1" applyAlignment="1">
      <alignment horizontal="center" vertical="center"/>
    </xf>
    <xf numFmtId="0" fontId="63" fillId="6" borderId="83" xfId="194" applyFont="1" applyFill="1" applyBorder="1" applyAlignment="1">
      <alignment horizontal="center" vertical="center"/>
    </xf>
    <xf numFmtId="0" fontId="63" fillId="6" borderId="106" xfId="194" applyFont="1" applyFill="1" applyBorder="1" applyAlignment="1">
      <alignment horizontal="center" vertical="center"/>
    </xf>
    <xf numFmtId="0" fontId="63" fillId="6" borderId="116" xfId="194" applyFont="1" applyFill="1" applyBorder="1" applyAlignment="1">
      <alignment horizontal="center" vertical="center"/>
    </xf>
    <xf numFmtId="0" fontId="63" fillId="6" borderId="89" xfId="194" applyFont="1" applyFill="1" applyBorder="1" applyAlignment="1">
      <alignment horizontal="center" vertical="center"/>
    </xf>
    <xf numFmtId="0" fontId="63" fillId="12" borderId="77" xfId="194" applyFont="1" applyFill="1" applyBorder="1" applyAlignment="1">
      <alignment horizontal="center" vertical="center" wrapText="1"/>
    </xf>
    <xf numFmtId="178" fontId="63" fillId="12" borderId="94" xfId="194" applyNumberFormat="1" applyFont="1" applyFill="1" applyBorder="1" applyAlignment="1">
      <alignment horizontal="center" vertical="center"/>
    </xf>
    <xf numFmtId="178" fontId="63" fillId="12" borderId="78" xfId="194" applyNumberFormat="1" applyFont="1" applyFill="1" applyBorder="1" applyAlignment="1">
      <alignment horizontal="center" vertical="center"/>
    </xf>
    <xf numFmtId="185" fontId="63" fillId="12" borderId="95" xfId="194" applyNumberFormat="1" applyFont="1" applyFill="1" applyBorder="1" applyAlignment="1">
      <alignment horizontal="center" vertical="center"/>
    </xf>
    <xf numFmtId="41" fontId="63" fillId="12" borderId="96" xfId="174" applyFont="1" applyFill="1" applyBorder="1" applyAlignment="1">
      <alignment vertical="center"/>
    </xf>
    <xf numFmtId="41" fontId="63" fillId="12" borderId="78" xfId="174" applyFont="1" applyFill="1" applyBorder="1" applyAlignment="1">
      <alignment vertical="center"/>
    </xf>
    <xf numFmtId="41" fontId="63" fillId="12" borderId="97" xfId="174" applyFont="1" applyFill="1" applyBorder="1" applyAlignment="1">
      <alignment vertical="center"/>
    </xf>
    <xf numFmtId="0" fontId="63" fillId="0" borderId="0" xfId="194" applyFont="1" applyAlignment="1">
      <alignment vertical="center"/>
    </xf>
    <xf numFmtId="0" fontId="63" fillId="12" borderId="84" xfId="194" applyFont="1" applyFill="1" applyBorder="1" applyAlignment="1">
      <alignment horizontal="center" vertical="center" wrapText="1"/>
    </xf>
    <xf numFmtId="178" fontId="63" fillId="12" borderId="111" xfId="194" applyNumberFormat="1" applyFont="1" applyFill="1" applyBorder="1" applyAlignment="1">
      <alignment horizontal="center" vertical="center"/>
    </xf>
    <xf numFmtId="178" fontId="63" fillId="12" borderId="86" xfId="194" applyNumberFormat="1" applyFont="1" applyFill="1" applyBorder="1" applyAlignment="1">
      <alignment horizontal="center" vertical="center"/>
    </xf>
    <xf numFmtId="185" fontId="63" fillId="12" borderId="112" xfId="194" applyNumberFormat="1" applyFont="1" applyFill="1" applyBorder="1" applyAlignment="1">
      <alignment horizontal="center" vertical="center"/>
    </xf>
    <xf numFmtId="41" fontId="63" fillId="12" borderId="121" xfId="174" applyFont="1" applyFill="1" applyBorder="1" applyAlignment="1">
      <alignment vertical="center"/>
    </xf>
    <xf numFmtId="41" fontId="63" fillId="12" borderId="86" xfId="174" applyFont="1" applyFill="1" applyBorder="1" applyAlignment="1">
      <alignment vertical="center"/>
    </xf>
    <xf numFmtId="41" fontId="63" fillId="12" borderId="122" xfId="174" applyFont="1" applyFill="1" applyBorder="1" applyAlignment="1">
      <alignment vertical="center"/>
    </xf>
    <xf numFmtId="185" fontId="63" fillId="12" borderId="86" xfId="194" applyNumberFormat="1" applyFont="1" applyFill="1" applyBorder="1" applyAlignment="1">
      <alignment horizontal="center" vertical="center"/>
    </xf>
    <xf numFmtId="0" fontId="63" fillId="12" borderId="87" xfId="194" applyFont="1" applyFill="1" applyBorder="1" applyAlignment="1">
      <alignment horizontal="center" vertical="center"/>
    </xf>
    <xf numFmtId="0" fontId="63" fillId="12" borderId="123" xfId="194" applyFont="1" applyFill="1" applyBorder="1" applyAlignment="1">
      <alignment horizontal="center" vertical="center"/>
    </xf>
    <xf numFmtId="0" fontId="63" fillId="12" borderId="89" xfId="194" applyFont="1" applyFill="1" applyBorder="1" applyAlignment="1">
      <alignment horizontal="center" vertical="center"/>
    </xf>
    <xf numFmtId="0" fontId="63" fillId="12" borderId="124" xfId="194" applyFont="1" applyFill="1" applyBorder="1" applyAlignment="1">
      <alignment horizontal="center" vertical="center"/>
    </xf>
    <xf numFmtId="185" fontId="63" fillId="12" borderId="116" xfId="194" applyNumberFormat="1" applyFont="1" applyFill="1" applyBorder="1" applyAlignment="1">
      <alignment vertical="center"/>
    </xf>
    <xf numFmtId="185" fontId="63" fillId="12" borderId="89" xfId="194" applyNumberFormat="1" applyFont="1" applyFill="1" applyBorder="1" applyAlignment="1">
      <alignment vertical="center"/>
    </xf>
    <xf numFmtId="185" fontId="63" fillId="12" borderId="125" xfId="174" applyNumberFormat="1" applyFont="1" applyFill="1" applyBorder="1" applyAlignment="1">
      <alignment vertical="center"/>
    </xf>
    <xf numFmtId="0" fontId="63" fillId="35" borderId="84" xfId="194" applyFont="1" applyFill="1" applyBorder="1" applyAlignment="1">
      <alignment horizontal="center" vertical="center"/>
    </xf>
    <xf numFmtId="0" fontId="63" fillId="35" borderId="85" xfId="194" applyFont="1" applyFill="1" applyBorder="1" applyAlignment="1">
      <alignment horizontal="center" vertical="center"/>
    </xf>
    <xf numFmtId="0" fontId="63" fillId="35" borderId="86" xfId="194" applyFont="1" applyFill="1" applyBorder="1" applyAlignment="1">
      <alignment horizontal="center" vertical="center"/>
    </xf>
    <xf numFmtId="0" fontId="63" fillId="35" borderId="112" xfId="194" applyFont="1" applyFill="1" applyBorder="1" applyAlignment="1">
      <alignment horizontal="center" vertical="center"/>
    </xf>
    <xf numFmtId="0" fontId="63" fillId="35" borderId="121" xfId="194" applyFont="1" applyFill="1" applyBorder="1" applyAlignment="1">
      <alignment horizontal="center" vertical="center"/>
    </xf>
    <xf numFmtId="41" fontId="63" fillId="35" borderId="122" xfId="174" applyFont="1" applyFill="1" applyBorder="1" applyAlignment="1">
      <alignment horizontal="center" vertical="center"/>
    </xf>
    <xf numFmtId="180" fontId="63" fillId="35" borderId="86" xfId="174" applyNumberFormat="1" applyFont="1" applyFill="1" applyBorder="1" applyAlignment="1">
      <alignment vertical="center"/>
    </xf>
    <xf numFmtId="180" fontId="63" fillId="35" borderId="112" xfId="174" applyNumberFormat="1" applyFont="1" applyFill="1" applyBorder="1" applyAlignment="1">
      <alignment vertical="center"/>
    </xf>
    <xf numFmtId="180" fontId="63" fillId="35" borderId="111" xfId="174" applyNumberFormat="1" applyFont="1" applyFill="1" applyBorder="1" applyAlignment="1">
      <alignment vertical="center"/>
    </xf>
    <xf numFmtId="185" fontId="63" fillId="35" borderId="112" xfId="174" applyNumberFormat="1" applyFont="1" applyFill="1" applyBorder="1" applyAlignment="1">
      <alignment vertical="center"/>
    </xf>
    <xf numFmtId="0" fontId="63" fillId="35" borderId="79" xfId="194" applyFont="1" applyFill="1" applyBorder="1" applyAlignment="1">
      <alignment horizontal="center" vertical="center"/>
    </xf>
    <xf numFmtId="0" fontId="63" fillId="35" borderId="80" xfId="194" applyFont="1" applyFill="1" applyBorder="1" applyAlignment="1">
      <alignment horizontal="center" vertical="center"/>
    </xf>
    <xf numFmtId="0" fontId="63" fillId="35" borderId="81" xfId="194" applyFont="1" applyFill="1" applyBorder="1" applyAlignment="1">
      <alignment horizontal="center" vertical="center"/>
    </xf>
    <xf numFmtId="0" fontId="63" fillId="35" borderId="103" xfId="194" applyFont="1" applyFill="1" applyBorder="1" applyAlignment="1">
      <alignment horizontal="center" vertical="center"/>
    </xf>
    <xf numFmtId="0" fontId="63" fillId="35" borderId="109" xfId="194" applyFont="1" applyFill="1" applyBorder="1" applyAlignment="1">
      <alignment horizontal="center" vertical="center"/>
    </xf>
    <xf numFmtId="41" fontId="63" fillId="35" borderId="127" xfId="174" applyFont="1" applyFill="1" applyBorder="1" applyAlignment="1">
      <alignment horizontal="center" vertical="center"/>
    </xf>
    <xf numFmtId="180" fontId="63" fillId="35" borderId="81" xfId="174" applyNumberFormat="1" applyFont="1" applyFill="1" applyBorder="1" applyAlignment="1">
      <alignment vertical="center"/>
    </xf>
    <xf numFmtId="180" fontId="63" fillId="35" borderId="103" xfId="174" applyNumberFormat="1" applyFont="1" applyFill="1" applyBorder="1" applyAlignment="1">
      <alignment vertical="center"/>
    </xf>
    <xf numFmtId="180" fontId="63" fillId="35" borderId="105" xfId="174" applyNumberFormat="1" applyFont="1" applyFill="1" applyBorder="1" applyAlignment="1">
      <alignment vertical="center"/>
    </xf>
    <xf numFmtId="185" fontId="63" fillId="35" borderId="103" xfId="174" applyNumberFormat="1" applyFont="1" applyFill="1" applyBorder="1" applyAlignment="1">
      <alignment vertical="center"/>
    </xf>
    <xf numFmtId="0" fontId="63" fillId="3" borderId="79" xfId="194" applyFont="1" applyFill="1" applyBorder="1" applyAlignment="1">
      <alignment horizontal="center" vertical="center"/>
    </xf>
    <xf numFmtId="0" fontId="63" fillId="3" borderId="80" xfId="194" applyFont="1" applyFill="1" applyBorder="1" applyAlignment="1">
      <alignment horizontal="center" vertical="center"/>
    </xf>
    <xf numFmtId="0" fontId="63" fillId="3" borderId="81" xfId="194" applyFont="1" applyFill="1" applyBorder="1" applyAlignment="1">
      <alignment horizontal="center" vertical="center"/>
    </xf>
    <xf numFmtId="0" fontId="63" fillId="3" borderId="103" xfId="194" applyFont="1" applyFill="1" applyBorder="1" applyAlignment="1">
      <alignment horizontal="center" vertical="center"/>
    </xf>
    <xf numFmtId="0" fontId="63" fillId="3" borderId="109" xfId="194" applyFont="1" applyFill="1" applyBorder="1" applyAlignment="1">
      <alignment horizontal="center" vertical="center"/>
    </xf>
    <xf numFmtId="41" fontId="63" fillId="3" borderId="127" xfId="174" applyFont="1" applyFill="1" applyBorder="1" applyAlignment="1">
      <alignment horizontal="center" vertical="center"/>
    </xf>
    <xf numFmtId="180" fontId="63" fillId="3" borderId="81" xfId="174" applyNumberFormat="1" applyFont="1" applyFill="1" applyBorder="1" applyAlignment="1">
      <alignment vertical="center"/>
    </xf>
    <xf numFmtId="180" fontId="63" fillId="3" borderId="103" xfId="174" applyNumberFormat="1" applyFont="1" applyFill="1" applyBorder="1" applyAlignment="1">
      <alignment vertical="center"/>
    </xf>
    <xf numFmtId="180" fontId="63" fillId="3" borderId="105" xfId="174" applyNumberFormat="1" applyFont="1" applyFill="1" applyBorder="1" applyAlignment="1">
      <alignment vertical="center"/>
    </xf>
    <xf numFmtId="185" fontId="63" fillId="3" borderId="103" xfId="174" applyNumberFormat="1" applyFont="1" applyFill="1" applyBorder="1" applyAlignment="1">
      <alignment vertical="center"/>
    </xf>
    <xf numFmtId="0" fontId="63" fillId="0" borderId="0" xfId="194" applyFont="1" applyFill="1" applyAlignment="1">
      <alignment vertical="center"/>
    </xf>
    <xf numFmtId="0" fontId="63" fillId="2" borderId="79" xfId="194" applyFont="1" applyFill="1" applyBorder="1" applyAlignment="1">
      <alignment horizontal="center" vertical="center"/>
    </xf>
    <xf numFmtId="0" fontId="63" fillId="2" borderId="80" xfId="194" applyFont="1" applyFill="1" applyBorder="1" applyAlignment="1">
      <alignment horizontal="center" vertical="center"/>
    </xf>
    <xf numFmtId="0" fontId="63" fillId="2" borderId="81" xfId="194" applyFont="1" applyFill="1" applyBorder="1" applyAlignment="1">
      <alignment horizontal="center" vertical="center"/>
    </xf>
    <xf numFmtId="0" fontId="63" fillId="2" borderId="103" xfId="194" applyFont="1" applyFill="1" applyBorder="1" applyAlignment="1">
      <alignment horizontal="center" vertical="center"/>
    </xf>
    <xf numFmtId="0" fontId="63" fillId="2" borderId="109" xfId="194" applyFont="1" applyFill="1" applyBorder="1" applyAlignment="1">
      <alignment horizontal="center" vertical="center"/>
    </xf>
    <xf numFmtId="41" fontId="63" fillId="2" borderId="127" xfId="174" applyFont="1" applyFill="1" applyBorder="1" applyAlignment="1">
      <alignment horizontal="center" vertical="center"/>
    </xf>
    <xf numFmtId="180" fontId="63" fillId="2" borderId="81" xfId="174" applyNumberFormat="1" applyFont="1" applyFill="1" applyBorder="1" applyAlignment="1">
      <alignment vertical="center"/>
    </xf>
    <xf numFmtId="180" fontId="63" fillId="2" borderId="103" xfId="174" applyNumberFormat="1" applyFont="1" applyFill="1" applyBorder="1" applyAlignment="1">
      <alignment vertical="center"/>
    </xf>
    <xf numFmtId="180" fontId="63" fillId="2" borderId="105" xfId="174" applyNumberFormat="1" applyFont="1" applyFill="1" applyBorder="1" applyAlignment="1">
      <alignment vertical="center"/>
    </xf>
    <xf numFmtId="185" fontId="63" fillId="2" borderId="103" xfId="174" applyNumberFormat="1" applyFont="1" applyFill="1" applyBorder="1" applyAlignment="1">
      <alignment vertical="center"/>
    </xf>
    <xf numFmtId="0" fontId="63" fillId="40" borderId="79" xfId="194" applyFont="1" applyFill="1" applyBorder="1" applyAlignment="1">
      <alignment horizontal="center" vertical="center"/>
    </xf>
    <xf numFmtId="0" fontId="63" fillId="40" borderId="80" xfId="194" applyFont="1" applyFill="1" applyBorder="1" applyAlignment="1">
      <alignment horizontal="center" vertical="center"/>
    </xf>
    <xf numFmtId="0" fontId="63" fillId="40" borderId="81" xfId="194" applyFont="1" applyFill="1" applyBorder="1" applyAlignment="1">
      <alignment horizontal="center" vertical="center"/>
    </xf>
    <xf numFmtId="0" fontId="63" fillId="40" borderId="103" xfId="194" applyFont="1" applyFill="1" applyBorder="1" applyAlignment="1">
      <alignment horizontal="center" vertical="center"/>
    </xf>
    <xf numFmtId="0" fontId="63" fillId="40" borderId="109" xfId="194" applyFont="1" applyFill="1" applyBorder="1" applyAlignment="1">
      <alignment horizontal="center" vertical="center"/>
    </xf>
    <xf numFmtId="41" fontId="63" fillId="40" borderId="127" xfId="174" applyFont="1" applyFill="1" applyBorder="1" applyAlignment="1">
      <alignment horizontal="center" vertical="center"/>
    </xf>
    <xf numFmtId="180" fontId="63" fillId="40" borderId="81" xfId="174" applyNumberFormat="1" applyFont="1" applyFill="1" applyBorder="1" applyAlignment="1">
      <alignment vertical="center"/>
    </xf>
    <xf numFmtId="180" fontId="63" fillId="40" borderId="103" xfId="174" applyNumberFormat="1" applyFont="1" applyFill="1" applyBorder="1" applyAlignment="1">
      <alignment vertical="center"/>
    </xf>
    <xf numFmtId="180" fontId="63" fillId="40" borderId="105" xfId="174" applyNumberFormat="1" applyFont="1" applyFill="1" applyBorder="1" applyAlignment="1">
      <alignment vertical="center"/>
    </xf>
    <xf numFmtId="185" fontId="63" fillId="40" borderId="103" xfId="174" applyNumberFormat="1" applyFont="1" applyFill="1" applyBorder="1" applyAlignment="1">
      <alignment vertical="center"/>
    </xf>
    <xf numFmtId="43" fontId="63" fillId="40" borderId="105" xfId="174" applyNumberFormat="1" applyFont="1" applyFill="1" applyBorder="1" applyAlignment="1">
      <alignment vertical="center"/>
    </xf>
    <xf numFmtId="43" fontId="63" fillId="40" borderId="81" xfId="174" applyNumberFormat="1" applyFont="1" applyFill="1" applyBorder="1" applyAlignment="1">
      <alignment vertical="center"/>
    </xf>
    <xf numFmtId="0" fontId="63" fillId="40" borderId="87" xfId="194" applyFont="1" applyFill="1" applyBorder="1" applyAlignment="1">
      <alignment horizontal="center" vertical="center"/>
    </xf>
    <xf numFmtId="0" fontId="63" fillId="40" borderId="88" xfId="194" applyFont="1" applyFill="1" applyBorder="1" applyAlignment="1">
      <alignment horizontal="center" vertical="center"/>
    </xf>
    <xf numFmtId="0" fontId="63" fillId="40" borderId="89" xfId="194" applyFont="1" applyFill="1" applyBorder="1" applyAlignment="1">
      <alignment horizontal="center" vertical="center"/>
    </xf>
    <xf numFmtId="0" fontId="63" fillId="40" borderId="124" xfId="194" applyFont="1" applyFill="1" applyBorder="1" applyAlignment="1">
      <alignment horizontal="center" vertical="center"/>
    </xf>
    <xf numFmtId="0" fontId="63" fillId="40" borderId="116" xfId="194" applyFont="1" applyFill="1" applyBorder="1" applyAlignment="1">
      <alignment horizontal="center" vertical="center"/>
    </xf>
    <xf numFmtId="41" fontId="63" fillId="40" borderId="125" xfId="174" applyFont="1" applyFill="1" applyBorder="1" applyAlignment="1">
      <alignment horizontal="center" vertical="center"/>
    </xf>
    <xf numFmtId="180" fontId="63" fillId="40" borderId="89" xfId="174" applyNumberFormat="1" applyFont="1" applyFill="1" applyBorder="1" applyAlignment="1">
      <alignment vertical="center"/>
    </xf>
    <xf numFmtId="180" fontId="63" fillId="40" borderId="124" xfId="174" applyNumberFormat="1" applyFont="1" applyFill="1" applyBorder="1" applyAlignment="1">
      <alignment vertical="center"/>
    </xf>
    <xf numFmtId="180" fontId="63" fillId="40" borderId="123" xfId="174" applyNumberFormat="1" applyFont="1" applyFill="1" applyBorder="1" applyAlignment="1">
      <alignment vertical="center"/>
    </xf>
    <xf numFmtId="185" fontId="63" fillId="40" borderId="124" xfId="174" applyNumberFormat="1" applyFont="1" applyFill="1" applyBorder="1" applyAlignment="1">
      <alignment vertical="center"/>
    </xf>
    <xf numFmtId="185" fontId="63" fillId="0" borderId="0" xfId="194" applyNumberFormat="1" applyFont="1" applyAlignment="1">
      <alignment vertical="center"/>
    </xf>
    <xf numFmtId="0" fontId="63" fillId="0" borderId="0" xfId="194" applyFont="1" applyAlignment="1">
      <alignment horizontal="right" vertical="center"/>
    </xf>
    <xf numFmtId="0" fontId="63" fillId="0" borderId="90" xfId="194" applyFont="1" applyBorder="1" applyAlignment="1">
      <alignment horizontal="center" vertical="center"/>
    </xf>
    <xf numFmtId="0" fontId="63" fillId="0" borderId="91" xfId="194" applyFont="1" applyBorder="1" applyAlignment="1">
      <alignment horizontal="center" vertical="center"/>
    </xf>
    <xf numFmtId="0" fontId="63" fillId="0" borderId="22" xfId="194" applyFont="1" applyBorder="1" applyAlignment="1">
      <alignment horizontal="center" vertical="center"/>
    </xf>
    <xf numFmtId="0" fontId="63" fillId="0" borderId="93" xfId="194" applyFont="1" applyFill="1" applyBorder="1" applyAlignment="1">
      <alignment horizontal="center" vertical="center"/>
    </xf>
    <xf numFmtId="0" fontId="63" fillId="0" borderId="0" xfId="194" applyFont="1" applyFill="1" applyBorder="1" applyAlignment="1">
      <alignment horizontal="center" vertical="center"/>
    </xf>
    <xf numFmtId="41" fontId="63" fillId="0" borderId="0" xfId="194" applyNumberFormat="1" applyFont="1" applyAlignment="1">
      <alignment vertical="center"/>
    </xf>
    <xf numFmtId="180" fontId="63" fillId="0" borderId="0" xfId="194" applyNumberFormat="1" applyFont="1" applyAlignment="1">
      <alignment vertical="center"/>
    </xf>
    <xf numFmtId="180" fontId="63" fillId="35" borderId="126" xfId="174" applyNumberFormat="1" applyFont="1" applyFill="1" applyBorder="1" applyAlignment="1">
      <alignment vertical="center"/>
    </xf>
    <xf numFmtId="180" fontId="63" fillId="35" borderId="128" xfId="174" applyNumberFormat="1" applyFont="1" applyFill="1" applyBorder="1" applyAlignment="1">
      <alignment vertical="center"/>
    </xf>
    <xf numFmtId="180" fontId="63" fillId="3" borderId="128" xfId="174" applyNumberFormat="1" applyFont="1" applyFill="1" applyBorder="1" applyAlignment="1">
      <alignment vertical="center"/>
    </xf>
    <xf numFmtId="180" fontId="63" fillId="2" borderId="128" xfId="174" applyNumberFormat="1" applyFont="1" applyFill="1" applyBorder="1" applyAlignment="1">
      <alignment vertical="center"/>
    </xf>
    <xf numFmtId="180" fontId="63" fillId="40" borderId="128" xfId="174" applyNumberFormat="1" applyFont="1" applyFill="1" applyBorder="1" applyAlignment="1">
      <alignment vertical="center"/>
    </xf>
    <xf numFmtId="0" fontId="63" fillId="35" borderId="145" xfId="194" applyFont="1" applyFill="1" applyBorder="1" applyAlignment="1">
      <alignment horizontal="center" vertical="center"/>
    </xf>
    <xf numFmtId="0" fontId="63" fillId="35" borderId="146" xfId="194" applyFont="1" applyFill="1" applyBorder="1" applyAlignment="1">
      <alignment horizontal="center" vertical="center"/>
    </xf>
    <xf numFmtId="0" fontId="63" fillId="3" borderId="146" xfId="194" applyFont="1" applyFill="1" applyBorder="1" applyAlignment="1">
      <alignment horizontal="center" vertical="center"/>
    </xf>
    <xf numFmtId="0" fontId="63" fillId="2" borderId="146" xfId="194" applyFont="1" applyFill="1" applyBorder="1" applyAlignment="1">
      <alignment horizontal="center" vertical="center"/>
    </xf>
    <xf numFmtId="0" fontId="63" fillId="40" borderId="146" xfId="194" applyFont="1" applyFill="1" applyBorder="1" applyAlignment="1">
      <alignment horizontal="center" vertical="center"/>
    </xf>
    <xf numFmtId="0" fontId="63" fillId="40" borderId="147" xfId="194" applyFont="1" applyFill="1" applyBorder="1" applyAlignment="1">
      <alignment horizontal="center" vertical="center"/>
    </xf>
    <xf numFmtId="185" fontId="63" fillId="35" borderId="126" xfId="194" applyNumberFormat="1" applyFont="1" applyFill="1" applyBorder="1" applyAlignment="1">
      <alignment horizontal="right" vertical="center"/>
    </xf>
    <xf numFmtId="185" fontId="63" fillId="35" borderId="128" xfId="194" applyNumberFormat="1" applyFont="1" applyFill="1" applyBorder="1" applyAlignment="1">
      <alignment horizontal="right" vertical="center"/>
    </xf>
    <xf numFmtId="185" fontId="63" fillId="3" borderId="128" xfId="194" applyNumberFormat="1" applyFont="1" applyFill="1" applyBorder="1" applyAlignment="1">
      <alignment horizontal="right" vertical="center"/>
    </xf>
    <xf numFmtId="185" fontId="63" fillId="2" borderId="128" xfId="194" applyNumberFormat="1" applyFont="1" applyFill="1" applyBorder="1" applyAlignment="1">
      <alignment horizontal="right" vertical="center"/>
    </xf>
    <xf numFmtId="185" fontId="63" fillId="40" borderId="128" xfId="194" applyNumberFormat="1" applyFont="1" applyFill="1" applyBorder="1" applyAlignment="1">
      <alignment horizontal="right" vertical="center"/>
    </xf>
    <xf numFmtId="180" fontId="50" fillId="2" borderId="151" xfId="1" applyNumberFormat="1" applyFont="1" applyFill="1" applyBorder="1" applyAlignment="1">
      <alignment horizontal="right" vertical="center"/>
    </xf>
    <xf numFmtId="180" fontId="50" fillId="35" borderId="151" xfId="1" applyNumberFormat="1" applyFont="1" applyFill="1" applyBorder="1" applyAlignment="1">
      <alignment horizontal="right" vertical="center"/>
    </xf>
    <xf numFmtId="180" fontId="50" fillId="40" borderId="151" xfId="1" applyNumberFormat="1" applyFont="1" applyFill="1" applyBorder="1" applyAlignment="1">
      <alignment horizontal="right" vertical="center"/>
    </xf>
    <xf numFmtId="180" fontId="50" fillId="12" borderId="152" xfId="0" applyNumberFormat="1" applyFont="1" applyFill="1" applyBorder="1" applyAlignment="1">
      <alignment horizontal="right" vertical="center"/>
    </xf>
    <xf numFmtId="0" fontId="45" fillId="2" borderId="14" xfId="0" applyFont="1" applyFill="1" applyBorder="1" applyAlignment="1">
      <alignment horizontal="distributed" vertical="center" indent="1"/>
    </xf>
    <xf numFmtId="0" fontId="45" fillId="35" borderId="14" xfId="0" applyFont="1" applyFill="1" applyBorder="1" applyAlignment="1">
      <alignment horizontal="distributed" vertical="center" indent="1"/>
    </xf>
    <xf numFmtId="0" fontId="45" fillId="40" borderId="14" xfId="0" applyFont="1" applyFill="1" applyBorder="1" applyAlignment="1">
      <alignment horizontal="distributed" vertical="center" indent="1"/>
    </xf>
    <xf numFmtId="0" fontId="45" fillId="12" borderId="39" xfId="0" applyFont="1" applyFill="1" applyBorder="1" applyAlignment="1">
      <alignment horizontal="distributed" vertical="center" indent="1"/>
    </xf>
    <xf numFmtId="0" fontId="45" fillId="12" borderId="20" xfId="0" applyFont="1" applyFill="1" applyBorder="1" applyAlignment="1">
      <alignment horizontal="center" vertical="center"/>
    </xf>
    <xf numFmtId="180" fontId="45" fillId="12" borderId="20" xfId="0" applyNumberFormat="1" applyFont="1" applyFill="1" applyBorder="1" applyAlignment="1">
      <alignment horizontal="right" vertical="center"/>
    </xf>
    <xf numFmtId="180" fontId="45" fillId="12" borderId="20" xfId="1" applyNumberFormat="1" applyFont="1" applyFill="1" applyBorder="1" applyAlignment="1">
      <alignment horizontal="right" vertical="center"/>
    </xf>
    <xf numFmtId="180" fontId="45" fillId="12" borderId="153" xfId="0" applyNumberFormat="1" applyFont="1" applyFill="1" applyBorder="1" applyAlignment="1">
      <alignment horizontal="right" vertical="center"/>
    </xf>
    <xf numFmtId="0" fontId="45" fillId="12" borderId="10" xfId="0" applyFont="1" applyFill="1" applyBorder="1" applyAlignment="1">
      <alignment horizontal="center" vertical="center"/>
    </xf>
    <xf numFmtId="184" fontId="50" fillId="5" borderId="47" xfId="0" applyNumberFormat="1" applyFont="1" applyFill="1" applyBorder="1" applyAlignment="1">
      <alignment horizontal="center" vertical="center"/>
    </xf>
    <xf numFmtId="0" fontId="55" fillId="0" borderId="0" xfId="194" applyFont="1" applyAlignment="1">
      <alignment vertical="center"/>
    </xf>
    <xf numFmtId="0" fontId="55" fillId="6" borderId="71" xfId="194" applyFont="1" applyFill="1" applyBorder="1" applyAlignment="1">
      <alignment horizontal="center" vertical="center"/>
    </xf>
    <xf numFmtId="0" fontId="55" fillId="6" borderId="71" xfId="194" applyFont="1" applyFill="1" applyBorder="1" applyAlignment="1">
      <alignment horizontal="center" vertical="center" wrapText="1"/>
    </xf>
    <xf numFmtId="0" fontId="55" fillId="6" borderId="71" xfId="194" applyFont="1" applyFill="1" applyBorder="1" applyAlignment="1">
      <alignment horizontal="distributed" vertical="center" indent="1"/>
    </xf>
    <xf numFmtId="0" fontId="55" fillId="2" borderId="10" xfId="194" applyFont="1" applyFill="1" applyBorder="1" applyAlignment="1">
      <alignment horizontal="distributed" vertical="center" indent="1"/>
    </xf>
    <xf numFmtId="0" fontId="55" fillId="3" borderId="10" xfId="194" applyFont="1" applyFill="1" applyBorder="1" applyAlignment="1">
      <alignment horizontal="distributed" vertical="center" indent="1"/>
    </xf>
    <xf numFmtId="0" fontId="55" fillId="40" borderId="10" xfId="194" applyFont="1" applyFill="1" applyBorder="1" applyAlignment="1">
      <alignment horizontal="distributed" vertical="center" indent="1"/>
    </xf>
    <xf numFmtId="0" fontId="44" fillId="38" borderId="10" xfId="0" applyFont="1" applyFill="1" applyBorder="1" applyAlignment="1">
      <alignment horizontal="distributed" vertical="center" indent="1"/>
    </xf>
    <xf numFmtId="0" fontId="44" fillId="6" borderId="10" xfId="0" applyFont="1" applyFill="1" applyBorder="1" applyAlignment="1">
      <alignment horizontal="distributed" vertical="center" indent="1"/>
    </xf>
    <xf numFmtId="0" fontId="44" fillId="2" borderId="10" xfId="0" applyFont="1" applyFill="1" applyBorder="1" applyAlignment="1">
      <alignment horizontal="distributed" vertical="center" indent="1"/>
    </xf>
    <xf numFmtId="0" fontId="45" fillId="12" borderId="47" xfId="0" applyFont="1" applyFill="1" applyBorder="1" applyAlignment="1">
      <alignment horizontal="center" vertical="center"/>
    </xf>
    <xf numFmtId="183" fontId="45" fillId="0" borderId="47" xfId="0" applyNumberFormat="1" applyFont="1" applyBorder="1">
      <alignment vertical="center"/>
    </xf>
    <xf numFmtId="183" fontId="45" fillId="12" borderId="47" xfId="0" applyNumberFormat="1" applyFont="1" applyFill="1" applyBorder="1">
      <alignment vertical="center"/>
    </xf>
    <xf numFmtId="180" fontId="50" fillId="0" borderId="61" xfId="1" applyNumberFormat="1" applyFont="1" applyFill="1" applyBorder="1" applyAlignment="1">
      <alignment horizontal="right" vertical="center"/>
    </xf>
    <xf numFmtId="180" fontId="50" fillId="12" borderId="62" xfId="0" applyNumberFormat="1" applyFont="1" applyFill="1" applyBorder="1" applyAlignment="1">
      <alignment horizontal="right" vertical="center"/>
    </xf>
    <xf numFmtId="0" fontId="44" fillId="6" borderId="71" xfId="0" applyFont="1" applyFill="1" applyBorder="1" applyAlignment="1">
      <alignment horizontal="center" vertical="center"/>
    </xf>
    <xf numFmtId="0" fontId="45" fillId="41" borderId="10" xfId="0" applyFont="1" applyFill="1" applyBorder="1" applyAlignment="1">
      <alignment horizontal="distributed" vertical="center" indent="1"/>
    </xf>
    <xf numFmtId="0" fontId="45" fillId="39" borderId="10" xfId="0" applyFont="1" applyFill="1" applyBorder="1" applyAlignment="1">
      <alignment horizontal="distributed" vertical="center" indent="1"/>
    </xf>
    <xf numFmtId="178" fontId="45" fillId="38" borderId="10" xfId="0" applyNumberFormat="1" applyFont="1" applyFill="1" applyBorder="1" applyAlignment="1">
      <alignment horizontal="distributed" vertical="center" indent="1"/>
    </xf>
    <xf numFmtId="178" fontId="45" fillId="2" borderId="10" xfId="0" applyNumberFormat="1" applyFont="1" applyFill="1" applyBorder="1" applyAlignment="1">
      <alignment horizontal="distributed" vertical="center" indent="1"/>
    </xf>
    <xf numFmtId="178" fontId="45" fillId="35" borderId="10" xfId="0" applyNumberFormat="1" applyFont="1" applyFill="1" applyBorder="1" applyAlignment="1">
      <alignment horizontal="distributed" vertical="center" indent="1"/>
    </xf>
    <xf numFmtId="178" fontId="45" fillId="41" borderId="10" xfId="0" applyNumberFormat="1" applyFont="1" applyFill="1" applyBorder="1" applyAlignment="1">
      <alignment horizontal="distributed" vertical="center" indent="1"/>
    </xf>
    <xf numFmtId="178" fontId="45" fillId="39" borderId="10" xfId="0" applyNumberFormat="1" applyFont="1" applyFill="1" applyBorder="1" applyAlignment="1">
      <alignment horizontal="distributed" vertical="center" indent="1"/>
    </xf>
    <xf numFmtId="178" fontId="44" fillId="38" borderId="10" xfId="0" applyNumberFormat="1" applyFont="1" applyFill="1" applyBorder="1" applyAlignment="1">
      <alignment horizontal="distributed" vertical="center" indent="1"/>
    </xf>
    <xf numFmtId="178" fontId="44" fillId="6" borderId="10" xfId="0" applyNumberFormat="1" applyFont="1" applyFill="1" applyBorder="1" applyAlignment="1">
      <alignment horizontal="distributed" vertical="center" indent="1"/>
    </xf>
    <xf numFmtId="178" fontId="44" fillId="2" borderId="10" xfId="0" applyNumberFormat="1" applyFont="1" applyFill="1" applyBorder="1" applyAlignment="1">
      <alignment horizontal="distributed" vertical="center" indent="1"/>
    </xf>
    <xf numFmtId="0" fontId="44" fillId="6" borderId="71" xfId="0" applyFont="1" applyFill="1" applyBorder="1" applyAlignment="1">
      <alignment horizontal="center" vertical="center" wrapText="1"/>
    </xf>
    <xf numFmtId="0" fontId="66" fillId="0" borderId="0" xfId="194" applyFont="1" applyAlignment="1">
      <alignment vertical="center"/>
    </xf>
    <xf numFmtId="0" fontId="45" fillId="5" borderId="10" xfId="0" applyFont="1" applyFill="1" applyBorder="1" applyAlignment="1">
      <alignment horizontal="distributed" vertical="center" indent="1"/>
    </xf>
    <xf numFmtId="190" fontId="45" fillId="0" borderId="0" xfId="1" applyNumberFormat="1" applyFont="1" applyAlignment="1">
      <alignment horizontal="center" vertical="center"/>
    </xf>
    <xf numFmtId="180" fontId="44" fillId="0" borderId="0" xfId="1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6" borderId="16" xfId="0" applyFont="1" applyFill="1" applyBorder="1" applyAlignment="1">
      <alignment horizontal="center" vertical="center"/>
    </xf>
    <xf numFmtId="180" fontId="63" fillId="35" borderId="121" xfId="174" applyNumberFormat="1" applyFont="1" applyFill="1" applyBorder="1" applyAlignment="1">
      <alignment vertical="center"/>
    </xf>
    <xf numFmtId="180" fontId="63" fillId="35" borderId="109" xfId="174" applyNumberFormat="1" applyFont="1" applyFill="1" applyBorder="1" applyAlignment="1">
      <alignment vertical="center"/>
    </xf>
    <xf numFmtId="180" fontId="63" fillId="3" borderId="109" xfId="174" applyNumberFormat="1" applyFont="1" applyFill="1" applyBorder="1" applyAlignment="1">
      <alignment vertical="center"/>
    </xf>
    <xf numFmtId="180" fontId="63" fillId="2" borderId="109" xfId="174" applyNumberFormat="1" applyFont="1" applyFill="1" applyBorder="1" applyAlignment="1">
      <alignment vertical="center"/>
    </xf>
    <xf numFmtId="180" fontId="63" fillId="40" borderId="109" xfId="174" applyNumberFormat="1" applyFont="1" applyFill="1" applyBorder="1" applyAlignment="1">
      <alignment vertical="center"/>
    </xf>
    <xf numFmtId="180" fontId="63" fillId="40" borderId="116" xfId="174" applyNumberFormat="1" applyFont="1" applyFill="1" applyBorder="1" applyAlignment="1">
      <alignment vertical="center"/>
    </xf>
    <xf numFmtId="180" fontId="63" fillId="40" borderId="160" xfId="174" applyNumberFormat="1" applyFont="1" applyFill="1" applyBorder="1" applyAlignment="1">
      <alignment vertical="center"/>
    </xf>
    <xf numFmtId="185" fontId="63" fillId="40" borderId="160" xfId="194" applyNumberFormat="1" applyFont="1" applyFill="1" applyBorder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45" fillId="12" borderId="10" xfId="0" applyFont="1" applyFill="1" applyBorder="1" applyAlignment="1">
      <alignment horizontal="center" vertical="center"/>
    </xf>
    <xf numFmtId="0" fontId="45" fillId="38" borderId="10" xfId="0" applyFont="1" applyFill="1" applyBorder="1" applyAlignment="1">
      <alignment horizontal="center" vertical="center"/>
    </xf>
    <xf numFmtId="0" fontId="45" fillId="2" borderId="10" xfId="0" applyFont="1" applyFill="1" applyBorder="1" applyAlignment="1">
      <alignment horizontal="center" vertical="center"/>
    </xf>
    <xf numFmtId="0" fontId="45" fillId="42" borderId="10" xfId="0" applyFont="1" applyFill="1" applyBorder="1" applyAlignment="1">
      <alignment horizontal="center" vertical="center"/>
    </xf>
    <xf numFmtId="178" fontId="45" fillId="42" borderId="10" xfId="0" applyNumberFormat="1" applyFont="1" applyFill="1" applyBorder="1" applyAlignment="1">
      <alignment horizontal="right" vertical="center"/>
    </xf>
    <xf numFmtId="185" fontId="50" fillId="0" borderId="66" xfId="0" applyNumberFormat="1" applyFont="1" applyFill="1" applyBorder="1" applyAlignment="1">
      <alignment horizontal="right" vertical="center"/>
    </xf>
    <xf numFmtId="185" fontId="45" fillId="38" borderId="66" xfId="0" applyNumberFormat="1" applyFont="1" applyFill="1" applyBorder="1" applyAlignment="1">
      <alignment horizontal="right" vertical="center"/>
    </xf>
    <xf numFmtId="185" fontId="45" fillId="6" borderId="66" xfId="0" applyNumberFormat="1" applyFont="1" applyFill="1" applyBorder="1" applyAlignment="1">
      <alignment horizontal="right" vertical="center"/>
    </xf>
    <xf numFmtId="185" fontId="45" fillId="2" borderId="66" xfId="0" applyNumberFormat="1" applyFont="1" applyFill="1" applyBorder="1" applyAlignment="1">
      <alignment horizontal="right" vertical="center"/>
    </xf>
    <xf numFmtId="185" fontId="50" fillId="0" borderId="62" xfId="0" applyNumberFormat="1" applyFont="1" applyFill="1" applyBorder="1" applyAlignment="1">
      <alignment horizontal="right" vertical="center"/>
    </xf>
    <xf numFmtId="0" fontId="45" fillId="6" borderId="14" xfId="0" applyFont="1" applyFill="1" applyBorder="1" applyAlignment="1">
      <alignment horizontal="distributed" vertical="center" indent="1"/>
    </xf>
    <xf numFmtId="180" fontId="45" fillId="6" borderId="10" xfId="1" applyNumberFormat="1" applyFont="1" applyFill="1" applyBorder="1" applyAlignment="1">
      <alignment horizontal="right" vertical="center"/>
    </xf>
    <xf numFmtId="180" fontId="45" fillId="6" borderId="66" xfId="1" applyNumberFormat="1" applyFont="1" applyFill="1" applyBorder="1" applyAlignment="1">
      <alignment horizontal="right" vertical="center"/>
    </xf>
    <xf numFmtId="180" fontId="50" fillId="6" borderId="151" xfId="1" applyNumberFormat="1" applyFont="1" applyFill="1" applyBorder="1" applyAlignment="1">
      <alignment horizontal="right" vertical="center"/>
    </xf>
    <xf numFmtId="0" fontId="45" fillId="42" borderId="14" xfId="0" applyFont="1" applyFill="1" applyBorder="1" applyAlignment="1">
      <alignment horizontal="distributed" vertical="center" indent="1"/>
    </xf>
    <xf numFmtId="180" fontId="45" fillId="42" borderId="10" xfId="1" applyNumberFormat="1" applyFont="1" applyFill="1" applyBorder="1" applyAlignment="1">
      <alignment horizontal="right" vertical="center"/>
    </xf>
    <xf numFmtId="180" fontId="45" fillId="42" borderId="66" xfId="1" applyNumberFormat="1" applyFont="1" applyFill="1" applyBorder="1" applyAlignment="1">
      <alignment horizontal="right" vertical="center"/>
    </xf>
    <xf numFmtId="180" fontId="50" fillId="42" borderId="151" xfId="1" applyNumberFormat="1" applyFont="1" applyFill="1" applyBorder="1" applyAlignment="1">
      <alignment horizontal="right" vertical="center"/>
    </xf>
    <xf numFmtId="0" fontId="63" fillId="12" borderId="143" xfId="194" applyFont="1" applyFill="1" applyBorder="1" applyAlignment="1">
      <alignment horizontal="right" vertical="center" wrapText="1"/>
    </xf>
    <xf numFmtId="0" fontId="63" fillId="12" borderId="163" xfId="194" applyFont="1" applyFill="1" applyBorder="1" applyAlignment="1">
      <alignment horizontal="right" vertical="center"/>
    </xf>
    <xf numFmtId="0" fontId="63" fillId="12" borderId="144" xfId="194" applyFont="1" applyFill="1" applyBorder="1" applyAlignment="1">
      <alignment horizontal="right" vertical="center" wrapText="1"/>
    </xf>
    <xf numFmtId="0" fontId="63" fillId="12" borderId="0" xfId="194" applyFont="1" applyFill="1" applyBorder="1" applyAlignment="1">
      <alignment horizontal="right" vertical="center"/>
    </xf>
    <xf numFmtId="0" fontId="63" fillId="12" borderId="142" xfId="194" applyFont="1" applyFill="1" applyBorder="1" applyAlignment="1">
      <alignment horizontal="right" vertical="center" wrapText="1"/>
    </xf>
    <xf numFmtId="0" fontId="63" fillId="12" borderId="164" xfId="194" applyFont="1" applyFill="1" applyBorder="1" applyAlignment="1">
      <alignment horizontal="right" vertical="center"/>
    </xf>
    <xf numFmtId="0" fontId="50" fillId="0" borderId="0" xfId="0" applyFont="1" applyAlignment="1">
      <alignment horizontal="right" vertical="center"/>
    </xf>
    <xf numFmtId="190" fontId="50" fillId="0" borderId="0" xfId="1" applyNumberFormat="1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12" borderId="150" xfId="0" applyFont="1" applyFill="1" applyBorder="1" applyAlignment="1">
      <alignment horizontal="center" vertical="center"/>
    </xf>
    <xf numFmtId="0" fontId="55" fillId="38" borderId="10" xfId="194" applyFont="1" applyFill="1" applyBorder="1" applyAlignment="1">
      <alignment horizontal="distributed" vertical="center" indent="1"/>
    </xf>
    <xf numFmtId="185" fontId="55" fillId="38" borderId="10" xfId="194" applyNumberFormat="1" applyFont="1" applyFill="1" applyBorder="1" applyAlignment="1">
      <alignment horizontal="center" vertical="center"/>
    </xf>
    <xf numFmtId="0" fontId="55" fillId="38" borderId="10" xfId="194" applyFont="1" applyFill="1" applyBorder="1" applyAlignment="1">
      <alignment horizontal="center" vertical="center"/>
    </xf>
    <xf numFmtId="0" fontId="50" fillId="43" borderId="10" xfId="0" applyFont="1" applyFill="1" applyBorder="1" applyAlignment="1">
      <alignment horizontal="center" vertical="center"/>
    </xf>
    <xf numFmtId="0" fontId="45" fillId="5" borderId="10" xfId="0" applyFont="1" applyFill="1" applyBorder="1" applyAlignment="1">
      <alignment horizontal="center" vertical="center"/>
    </xf>
    <xf numFmtId="183" fontId="45" fillId="0" borderId="47" xfId="0" applyNumberFormat="1" applyFont="1" applyFill="1" applyBorder="1">
      <alignment vertical="center"/>
    </xf>
    <xf numFmtId="183" fontId="45" fillId="0" borderId="10" xfId="0" applyNumberFormat="1" applyFont="1" applyFill="1" applyBorder="1">
      <alignment vertical="center"/>
    </xf>
    <xf numFmtId="180" fontId="45" fillId="0" borderId="10" xfId="1" applyNumberFormat="1" applyFont="1" applyFill="1" applyBorder="1">
      <alignment vertical="center"/>
    </xf>
    <xf numFmtId="0" fontId="45" fillId="0" borderId="0" xfId="0" applyFont="1" applyFill="1">
      <alignment vertical="center"/>
    </xf>
    <xf numFmtId="177" fontId="63" fillId="3" borderId="172" xfId="194" applyNumberFormat="1" applyFont="1" applyFill="1" applyBorder="1" applyAlignment="1">
      <alignment vertical="center"/>
    </xf>
    <xf numFmtId="177" fontId="63" fillId="3" borderId="173" xfId="194" applyNumberFormat="1" applyFont="1" applyFill="1" applyBorder="1" applyAlignment="1">
      <alignment vertical="center"/>
    </xf>
    <xf numFmtId="177" fontId="63" fillId="3" borderId="174" xfId="194" applyNumberFormat="1" applyFont="1" applyFill="1" applyBorder="1" applyAlignment="1">
      <alignment vertical="center"/>
    </xf>
    <xf numFmtId="177" fontId="63" fillId="35" borderId="175" xfId="194" applyNumberFormat="1" applyFont="1" applyFill="1" applyBorder="1" applyAlignment="1">
      <alignment vertical="center"/>
    </xf>
    <xf numFmtId="177" fontId="63" fillId="35" borderId="173" xfId="194" applyNumberFormat="1" applyFont="1" applyFill="1" applyBorder="1" applyAlignment="1">
      <alignment vertical="center"/>
    </xf>
    <xf numFmtId="177" fontId="63" fillId="35" borderId="174" xfId="194" applyNumberFormat="1" applyFont="1" applyFill="1" applyBorder="1" applyAlignment="1">
      <alignment vertical="center"/>
    </xf>
    <xf numFmtId="177" fontId="63" fillId="2" borderId="172" xfId="194" applyNumberFormat="1" applyFont="1" applyFill="1" applyBorder="1" applyAlignment="1">
      <alignment vertical="center"/>
    </xf>
    <xf numFmtId="177" fontId="63" fillId="2" borderId="173" xfId="194" applyNumberFormat="1" applyFont="1" applyFill="1" applyBorder="1" applyAlignment="1">
      <alignment vertical="center"/>
    </xf>
    <xf numFmtId="177" fontId="63" fillId="2" borderId="174" xfId="194" applyNumberFormat="1" applyFont="1" applyFill="1" applyBorder="1" applyAlignment="1">
      <alignment vertical="center"/>
    </xf>
    <xf numFmtId="177" fontId="63" fillId="40" borderId="172" xfId="194" applyNumberFormat="1" applyFont="1" applyFill="1" applyBorder="1" applyAlignment="1">
      <alignment vertical="center"/>
    </xf>
    <xf numFmtId="177" fontId="63" fillId="40" borderId="173" xfId="194" applyNumberFormat="1" applyFont="1" applyFill="1" applyBorder="1" applyAlignment="1">
      <alignment vertical="center"/>
    </xf>
    <xf numFmtId="177" fontId="63" fillId="40" borderId="176" xfId="194" applyNumberFormat="1" applyFont="1" applyFill="1" applyBorder="1" applyAlignment="1">
      <alignment vertical="center"/>
    </xf>
    <xf numFmtId="178" fontId="45" fillId="0" borderId="10" xfId="0" applyNumberFormat="1" applyFont="1" applyBorder="1" applyAlignment="1">
      <alignment horizontal="center" vertical="center"/>
    </xf>
    <xf numFmtId="183" fontId="45" fillId="0" borderId="10" xfId="0" applyNumberFormat="1" applyFont="1" applyBorder="1" applyAlignment="1">
      <alignment horizontal="center" vertical="center"/>
    </xf>
    <xf numFmtId="180" fontId="45" fillId="0" borderId="10" xfId="0" applyNumberFormat="1" applyFont="1" applyBorder="1" applyAlignment="1">
      <alignment horizontal="center" vertical="center"/>
    </xf>
    <xf numFmtId="178" fontId="45" fillId="0" borderId="10" xfId="0" applyNumberFormat="1" applyFont="1" applyBorder="1" applyAlignment="1">
      <alignment vertical="center"/>
    </xf>
    <xf numFmtId="180" fontId="45" fillId="12" borderId="10" xfId="1" applyNumberFormat="1" applyFont="1" applyFill="1" applyBorder="1" applyAlignment="1">
      <alignment horizontal="center" vertical="center"/>
    </xf>
    <xf numFmtId="180" fontId="45" fillId="12" borderId="47" xfId="1" applyNumberFormat="1" applyFont="1" applyFill="1" applyBorder="1" applyAlignment="1">
      <alignment horizontal="center" vertical="center"/>
    </xf>
    <xf numFmtId="185" fontId="45" fillId="0" borderId="47" xfId="1" applyNumberFormat="1" applyFont="1" applyFill="1" applyBorder="1" applyAlignment="1">
      <alignment horizontal="center" vertical="center"/>
    </xf>
    <xf numFmtId="185" fontId="45" fillId="0" borderId="171" xfId="1" applyNumberFormat="1" applyFont="1" applyFill="1" applyBorder="1" applyAlignment="1">
      <alignment horizontal="center" vertical="center"/>
    </xf>
    <xf numFmtId="0" fontId="44" fillId="12" borderId="10" xfId="0" applyFont="1" applyFill="1" applyBorder="1" applyAlignment="1">
      <alignment horizontal="center" vertical="center"/>
    </xf>
    <xf numFmtId="0" fontId="50" fillId="6" borderId="59" xfId="0" applyFont="1" applyFill="1" applyBorder="1" applyAlignment="1">
      <alignment horizontal="center" vertical="center"/>
    </xf>
    <xf numFmtId="0" fontId="50" fillId="6" borderId="76" xfId="0" applyFont="1" applyFill="1" applyBorder="1" applyAlignment="1">
      <alignment horizontal="center" vertical="center"/>
    </xf>
    <xf numFmtId="185" fontId="50" fillId="38" borderId="61" xfId="0" applyNumberFormat="1" applyFont="1" applyFill="1" applyBorder="1" applyAlignment="1">
      <alignment vertical="center"/>
    </xf>
    <xf numFmtId="185" fontId="50" fillId="6" borderId="61" xfId="0" applyNumberFormat="1" applyFont="1" applyFill="1" applyBorder="1" applyAlignment="1">
      <alignment horizontal="right" vertical="center"/>
    </xf>
    <xf numFmtId="185" fontId="50" fillId="2" borderId="61" xfId="0" applyNumberFormat="1" applyFont="1" applyFill="1" applyBorder="1" applyAlignment="1">
      <alignment horizontal="right" vertical="center"/>
    </xf>
    <xf numFmtId="178" fontId="45" fillId="0" borderId="10" xfId="0" applyNumberFormat="1" applyFont="1" applyBorder="1">
      <alignment vertical="center"/>
    </xf>
    <xf numFmtId="178" fontId="45" fillId="5" borderId="10" xfId="0" applyNumberFormat="1" applyFont="1" applyFill="1" applyBorder="1">
      <alignment vertical="center"/>
    </xf>
    <xf numFmtId="185" fontId="45" fillId="0" borderId="66" xfId="1" applyNumberFormat="1" applyFont="1" applyBorder="1" applyAlignment="1">
      <alignment horizontal="right" vertical="center"/>
    </xf>
    <xf numFmtId="185" fontId="50" fillId="0" borderId="61" xfId="1" applyNumberFormat="1" applyFont="1" applyBorder="1" applyAlignment="1">
      <alignment horizontal="right" vertical="center"/>
    </xf>
    <xf numFmtId="185" fontId="45" fillId="0" borderId="153" xfId="1" applyNumberFormat="1" applyFont="1" applyBorder="1" applyAlignment="1">
      <alignment horizontal="right" vertical="center"/>
    </xf>
    <xf numFmtId="185" fontId="50" fillId="0" borderId="62" xfId="1" applyNumberFormat="1" applyFont="1" applyBorder="1" applyAlignment="1">
      <alignment horizontal="right" vertical="center"/>
    </xf>
    <xf numFmtId="185" fontId="45" fillId="0" borderId="47" xfId="0" applyNumberFormat="1" applyFont="1" applyBorder="1" applyAlignment="1">
      <alignment horizontal="right" vertical="center"/>
    </xf>
    <xf numFmtId="185" fontId="45" fillId="0" borderId="171" xfId="0" applyNumberFormat="1" applyFont="1" applyBorder="1" applyAlignment="1">
      <alignment horizontal="right" vertical="center"/>
    </xf>
    <xf numFmtId="0" fontId="69" fillId="7" borderId="0" xfId="0" applyFont="1" applyFill="1" applyBorder="1" applyAlignment="1">
      <alignment horizontal="center" vertical="center"/>
    </xf>
    <xf numFmtId="0" fontId="70" fillId="0" borderId="0" xfId="0" applyFont="1" applyBorder="1" applyAlignment="1">
      <alignment horizontal="center" vertical="center"/>
    </xf>
    <xf numFmtId="180" fontId="45" fillId="0" borderId="0" xfId="0" applyNumberFormat="1" applyFont="1">
      <alignment vertical="center"/>
    </xf>
    <xf numFmtId="0" fontId="44" fillId="5" borderId="10" xfId="0" applyFont="1" applyFill="1" applyBorder="1" applyAlignment="1">
      <alignment horizontal="center" vertical="center"/>
    </xf>
    <xf numFmtId="180" fontId="44" fillId="5" borderId="68" xfId="1" applyNumberFormat="1" applyFont="1" applyFill="1" applyBorder="1" applyAlignment="1">
      <alignment horizontal="center" vertical="center"/>
    </xf>
    <xf numFmtId="180" fontId="44" fillId="5" borderId="69" xfId="1" applyNumberFormat="1" applyFont="1" applyFill="1" applyBorder="1" applyAlignment="1">
      <alignment horizontal="center" vertical="center"/>
    </xf>
    <xf numFmtId="180" fontId="44" fillId="5" borderId="67" xfId="1" applyNumberFormat="1" applyFont="1" applyFill="1" applyBorder="1" applyAlignment="1">
      <alignment horizontal="center" vertical="center"/>
    </xf>
    <xf numFmtId="180" fontId="44" fillId="5" borderId="70" xfId="1" applyNumberFormat="1" applyFont="1" applyFill="1" applyBorder="1" applyAlignment="1">
      <alignment horizontal="center" vertical="center"/>
    </xf>
    <xf numFmtId="180" fontId="44" fillId="5" borderId="68" xfId="1" applyNumberFormat="1" applyFont="1" applyFill="1" applyBorder="1">
      <alignment vertical="center"/>
    </xf>
    <xf numFmtId="180" fontId="44" fillId="5" borderId="69" xfId="1" applyNumberFormat="1" applyFont="1" applyFill="1" applyBorder="1">
      <alignment vertical="center"/>
    </xf>
    <xf numFmtId="180" fontId="44" fillId="5" borderId="70" xfId="1" applyNumberFormat="1" applyFont="1" applyFill="1" applyBorder="1">
      <alignment vertical="center"/>
    </xf>
    <xf numFmtId="0" fontId="0" fillId="5" borderId="0" xfId="0" applyFill="1">
      <alignment vertical="center"/>
    </xf>
    <xf numFmtId="0" fontId="48" fillId="37" borderId="0" xfId="0" applyFont="1" applyFill="1" applyAlignment="1">
      <alignment horizontal="center" vertical="center"/>
    </xf>
    <xf numFmtId="0" fontId="45" fillId="12" borderId="38" xfId="0" applyFont="1" applyFill="1" applyBorder="1" applyAlignment="1">
      <alignment horizontal="distributed" vertical="center" indent="1"/>
    </xf>
    <xf numFmtId="0" fontId="45" fillId="12" borderId="14" xfId="0" applyFont="1" applyFill="1" applyBorder="1" applyAlignment="1">
      <alignment horizontal="distributed" vertical="center" indent="1"/>
    </xf>
    <xf numFmtId="0" fontId="45" fillId="12" borderId="25" xfId="0" applyFont="1" applyFill="1" applyBorder="1" applyAlignment="1">
      <alignment horizontal="center" vertical="center"/>
    </xf>
    <xf numFmtId="0" fontId="45" fillId="12" borderId="10" xfId="0" applyFont="1" applyFill="1" applyBorder="1" applyAlignment="1">
      <alignment horizontal="center" vertical="center"/>
    </xf>
    <xf numFmtId="0" fontId="45" fillId="12" borderId="6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5" fillId="12" borderId="10" xfId="0" applyFont="1" applyFill="1" applyBorder="1" applyAlignment="1">
      <alignment horizontal="center" vertical="center" wrapText="1"/>
    </xf>
    <xf numFmtId="0" fontId="50" fillId="12" borderId="59" xfId="0" applyFont="1" applyFill="1" applyBorder="1" applyAlignment="1">
      <alignment horizontal="center" vertical="center" wrapText="1"/>
    </xf>
    <xf numFmtId="0" fontId="50" fillId="12" borderId="155" xfId="0" applyFont="1" applyFill="1" applyBorder="1" applyAlignment="1">
      <alignment horizontal="center" vertical="center"/>
    </xf>
    <xf numFmtId="0" fontId="45" fillId="12" borderId="47" xfId="0" applyFont="1" applyFill="1" applyBorder="1" applyAlignment="1">
      <alignment horizontal="center" vertical="center"/>
    </xf>
    <xf numFmtId="0" fontId="45" fillId="12" borderId="10" xfId="0" applyFont="1" applyFill="1" applyBorder="1" applyAlignment="1">
      <alignment horizontal="distributed" vertical="center" indent="1"/>
    </xf>
    <xf numFmtId="177" fontId="63" fillId="12" borderId="168" xfId="194" applyNumberFormat="1" applyFont="1" applyFill="1" applyBorder="1" applyAlignment="1">
      <alignment horizontal="right" vertical="center"/>
    </xf>
    <xf numFmtId="177" fontId="63" fillId="12" borderId="169" xfId="194" applyNumberFormat="1" applyFont="1" applyFill="1" applyBorder="1" applyAlignment="1">
      <alignment horizontal="right" vertical="center"/>
    </xf>
    <xf numFmtId="177" fontId="63" fillId="12" borderId="170" xfId="194" applyNumberFormat="1" applyFont="1" applyFill="1" applyBorder="1" applyAlignment="1">
      <alignment horizontal="right" vertical="center"/>
    </xf>
    <xf numFmtId="178" fontId="63" fillId="12" borderId="138" xfId="194" applyNumberFormat="1" applyFont="1" applyFill="1" applyBorder="1" applyAlignment="1">
      <alignment horizontal="right" vertical="center"/>
    </xf>
    <xf numFmtId="178" fontId="63" fillId="12" borderId="139" xfId="194" applyNumberFormat="1" applyFont="1" applyFill="1" applyBorder="1" applyAlignment="1">
      <alignment horizontal="right" vertical="center"/>
    </xf>
    <xf numFmtId="178" fontId="63" fillId="12" borderId="129" xfId="194" applyNumberFormat="1" applyFont="1" applyFill="1" applyBorder="1" applyAlignment="1">
      <alignment horizontal="right" vertical="center"/>
    </xf>
    <xf numFmtId="178" fontId="63" fillId="12" borderId="119" xfId="194" applyNumberFormat="1" applyFont="1" applyFill="1" applyBorder="1" applyAlignment="1">
      <alignment horizontal="right" vertical="center"/>
    </xf>
    <xf numFmtId="178" fontId="63" fillId="12" borderId="115" xfId="194" applyNumberFormat="1" applyFont="1" applyFill="1" applyBorder="1" applyAlignment="1">
      <alignment horizontal="right" vertical="center"/>
    </xf>
    <xf numFmtId="178" fontId="63" fillId="12" borderId="91" xfId="194" applyNumberFormat="1" applyFont="1" applyFill="1" applyBorder="1" applyAlignment="1">
      <alignment horizontal="right" vertical="center"/>
    </xf>
    <xf numFmtId="185" fontId="63" fillId="12" borderId="136" xfId="194" applyNumberFormat="1" applyFont="1" applyFill="1" applyBorder="1" applyAlignment="1">
      <alignment horizontal="right" vertical="center"/>
    </xf>
    <xf numFmtId="185" fontId="63" fillId="12" borderId="130" xfId="194" applyNumberFormat="1" applyFont="1" applyFill="1" applyBorder="1" applyAlignment="1">
      <alignment horizontal="right" vertical="center"/>
    </xf>
    <xf numFmtId="185" fontId="63" fillId="12" borderId="92" xfId="194" applyNumberFormat="1" applyFont="1" applyFill="1" applyBorder="1" applyAlignment="1">
      <alignment horizontal="right" vertical="center"/>
    </xf>
    <xf numFmtId="178" fontId="63" fillId="12" borderId="120" xfId="194" applyNumberFormat="1" applyFont="1" applyFill="1" applyBorder="1" applyAlignment="1">
      <alignment horizontal="right" vertical="center"/>
    </xf>
    <xf numFmtId="178" fontId="63" fillId="12" borderId="118" xfId="194" applyNumberFormat="1" applyFont="1" applyFill="1" applyBorder="1" applyAlignment="1">
      <alignment horizontal="right" vertical="center"/>
    </xf>
    <xf numFmtId="178" fontId="63" fillId="12" borderId="140" xfId="194" applyNumberFormat="1" applyFont="1" applyFill="1" applyBorder="1" applyAlignment="1">
      <alignment horizontal="right" vertical="center"/>
    </xf>
    <xf numFmtId="0" fontId="63" fillId="6" borderId="83" xfId="194" applyFont="1" applyFill="1" applyBorder="1" applyAlignment="1">
      <alignment horizontal="center" vertical="center"/>
    </xf>
    <xf numFmtId="0" fontId="63" fillId="6" borderId="115" xfId="194" applyFont="1" applyFill="1" applyBorder="1" applyAlignment="1">
      <alignment horizontal="center" vertical="center"/>
    </xf>
    <xf numFmtId="0" fontId="63" fillId="6" borderId="108" xfId="194" applyFont="1" applyFill="1" applyBorder="1" applyAlignment="1">
      <alignment horizontal="center" vertical="center"/>
    </xf>
    <xf numFmtId="0" fontId="63" fillId="6" borderId="102" xfId="194" applyFont="1" applyFill="1" applyBorder="1" applyAlignment="1">
      <alignment horizontal="center" vertical="center"/>
    </xf>
    <xf numFmtId="0" fontId="63" fillId="6" borderId="114" xfId="194" applyFont="1" applyFill="1" applyBorder="1" applyAlignment="1">
      <alignment horizontal="center" vertical="center"/>
    </xf>
    <xf numFmtId="0" fontId="63" fillId="6" borderId="111" xfId="194" applyFont="1" applyFill="1" applyBorder="1" applyAlignment="1">
      <alignment horizontal="center" vertical="center"/>
    </xf>
    <xf numFmtId="0" fontId="63" fillId="40" borderId="0" xfId="194" applyFont="1" applyFill="1" applyBorder="1" applyAlignment="1">
      <alignment horizontal="center" vertical="center"/>
    </xf>
    <xf numFmtId="0" fontId="63" fillId="40" borderId="22" xfId="194" applyFont="1" applyFill="1" applyBorder="1" applyAlignment="1">
      <alignment horizontal="center" vertical="center"/>
    </xf>
    <xf numFmtId="0" fontId="63" fillId="6" borderId="161" xfId="194" applyFont="1" applyFill="1" applyBorder="1" applyAlignment="1">
      <alignment horizontal="center" vertical="center"/>
    </xf>
    <xf numFmtId="0" fontId="63" fillId="6" borderId="162" xfId="194" applyFont="1" applyFill="1" applyBorder="1" applyAlignment="1">
      <alignment horizontal="center" vertical="center"/>
    </xf>
    <xf numFmtId="0" fontId="63" fillId="35" borderId="0" xfId="194" applyFont="1" applyFill="1" applyBorder="1" applyAlignment="1">
      <alignment horizontal="center" vertical="center"/>
    </xf>
    <xf numFmtId="0" fontId="63" fillId="3" borderId="0" xfId="194" applyFont="1" applyFill="1" applyBorder="1" applyAlignment="1">
      <alignment horizontal="center" vertical="center"/>
    </xf>
    <xf numFmtId="0" fontId="63" fillId="6" borderId="141" xfId="194" applyFont="1" applyFill="1" applyBorder="1" applyAlignment="1">
      <alignment horizontal="center" vertical="center" wrapText="1"/>
    </xf>
    <xf numFmtId="0" fontId="63" fillId="6" borderId="142" xfId="194" applyFont="1" applyFill="1" applyBorder="1" applyAlignment="1">
      <alignment horizontal="center" vertical="center" wrapText="1"/>
    </xf>
    <xf numFmtId="0" fontId="63" fillId="6" borderId="137" xfId="194" applyFont="1" applyFill="1" applyBorder="1" applyAlignment="1">
      <alignment horizontal="center" vertical="center"/>
    </xf>
    <xf numFmtId="0" fontId="63" fillId="6" borderId="133" xfId="194" applyFont="1" applyFill="1" applyBorder="1" applyAlignment="1">
      <alignment horizontal="center" vertical="center"/>
    </xf>
    <xf numFmtId="185" fontId="63" fillId="6" borderId="134" xfId="194" applyNumberFormat="1" applyFont="1" applyFill="1" applyBorder="1" applyAlignment="1">
      <alignment horizontal="center" vertical="center"/>
    </xf>
    <xf numFmtId="185" fontId="63" fillId="6" borderId="106" xfId="194" applyNumberFormat="1" applyFont="1" applyFill="1" applyBorder="1" applyAlignment="1">
      <alignment horizontal="center" vertical="center"/>
    </xf>
    <xf numFmtId="0" fontId="63" fillId="2" borderId="0" xfId="194" applyFont="1" applyFill="1" applyBorder="1" applyAlignment="1">
      <alignment horizontal="center" vertical="center"/>
    </xf>
    <xf numFmtId="178" fontId="63" fillId="12" borderId="131" xfId="194" applyNumberFormat="1" applyFont="1" applyFill="1" applyBorder="1" applyAlignment="1">
      <alignment horizontal="right" vertical="center"/>
    </xf>
    <xf numFmtId="178" fontId="63" fillId="12" borderId="132" xfId="194" applyNumberFormat="1" applyFont="1" applyFill="1" applyBorder="1" applyAlignment="1">
      <alignment horizontal="right" vertical="center"/>
    </xf>
    <xf numFmtId="178" fontId="63" fillId="12" borderId="90" xfId="194" applyNumberFormat="1" applyFont="1" applyFill="1" applyBorder="1" applyAlignment="1">
      <alignment horizontal="right" vertical="center"/>
    </xf>
    <xf numFmtId="178" fontId="63" fillId="12" borderId="136" xfId="194" applyNumberFormat="1" applyFont="1" applyFill="1" applyBorder="1" applyAlignment="1">
      <alignment horizontal="right" vertical="center"/>
    </xf>
    <xf numFmtId="178" fontId="63" fillId="12" borderId="130" xfId="194" applyNumberFormat="1" applyFont="1" applyFill="1" applyBorder="1" applyAlignment="1">
      <alignment horizontal="right" vertical="center"/>
    </xf>
    <xf numFmtId="178" fontId="63" fillId="12" borderId="92" xfId="194" applyNumberFormat="1" applyFont="1" applyFill="1" applyBorder="1" applyAlignment="1">
      <alignment horizontal="right" vertical="center"/>
    </xf>
    <xf numFmtId="0" fontId="63" fillId="6" borderId="103" xfId="194" applyFont="1" applyFill="1" applyBorder="1" applyAlignment="1">
      <alignment horizontal="center" vertical="center"/>
    </xf>
    <xf numFmtId="0" fontId="63" fillId="6" borderId="106" xfId="194" applyFont="1" applyFill="1" applyBorder="1" applyAlignment="1">
      <alignment horizontal="center" vertical="center"/>
    </xf>
    <xf numFmtId="0" fontId="63" fillId="6" borderId="59" xfId="194" applyFont="1" applyFill="1" applyBorder="1" applyAlignment="1">
      <alignment horizontal="center" vertical="center" wrapText="1"/>
    </xf>
    <xf numFmtId="0" fontId="63" fillId="6" borderId="118" xfId="194" applyFont="1" applyFill="1" applyBorder="1" applyAlignment="1">
      <alignment horizontal="center" vertical="center"/>
    </xf>
    <xf numFmtId="0" fontId="63" fillId="6" borderId="109" xfId="194" applyFont="1" applyFill="1" applyBorder="1" applyAlignment="1">
      <alignment horizontal="center" vertical="center"/>
    </xf>
    <xf numFmtId="0" fontId="63" fillId="6" borderId="117" xfId="194" applyFont="1" applyFill="1" applyBorder="1" applyAlignment="1">
      <alignment horizontal="center" vertical="center"/>
    </xf>
    <xf numFmtId="0" fontId="63" fillId="6" borderId="81" xfId="194" applyFont="1" applyFill="1" applyBorder="1" applyAlignment="1">
      <alignment horizontal="center" vertical="center"/>
    </xf>
    <xf numFmtId="0" fontId="65" fillId="37" borderId="0" xfId="194" applyFont="1" applyFill="1" applyAlignment="1">
      <alignment horizontal="center" vertical="center"/>
    </xf>
    <xf numFmtId="0" fontId="63" fillId="6" borderId="106" xfId="194" applyFont="1" applyFill="1" applyBorder="1" applyAlignment="1">
      <alignment horizontal="center" vertical="center" wrapText="1"/>
    </xf>
    <xf numFmtId="0" fontId="63" fillId="6" borderId="101" xfId="194" applyFont="1" applyFill="1" applyBorder="1" applyAlignment="1">
      <alignment horizontal="center" vertical="center" wrapText="1"/>
    </xf>
    <xf numFmtId="0" fontId="63" fillId="6" borderId="165" xfId="194" applyFont="1" applyFill="1" applyBorder="1" applyAlignment="1">
      <alignment horizontal="center" vertical="center" wrapText="1"/>
    </xf>
    <xf numFmtId="0" fontId="63" fillId="6" borderId="166" xfId="194" applyFont="1" applyFill="1" applyBorder="1" applyAlignment="1">
      <alignment horizontal="center" vertical="center" wrapText="1"/>
    </xf>
    <xf numFmtId="0" fontId="63" fillId="6" borderId="167" xfId="194" applyFont="1" applyFill="1" applyBorder="1" applyAlignment="1">
      <alignment horizontal="center" vertical="center"/>
    </xf>
    <xf numFmtId="0" fontId="63" fillId="6" borderId="107" xfId="194" applyFont="1" applyFill="1" applyBorder="1" applyAlignment="1">
      <alignment horizontal="center" vertical="center"/>
    </xf>
    <xf numFmtId="0" fontId="63" fillId="6" borderId="113" xfId="194" applyFont="1" applyFill="1" applyBorder="1" applyAlignment="1">
      <alignment horizontal="center" vertical="center"/>
    </xf>
    <xf numFmtId="0" fontId="63" fillId="6" borderId="135" xfId="194" applyFont="1" applyFill="1" applyBorder="1" applyAlignment="1">
      <alignment horizontal="center" vertical="center"/>
    </xf>
    <xf numFmtId="0" fontId="63" fillId="6" borderId="104" xfId="194" applyFont="1" applyFill="1" applyBorder="1" applyAlignment="1">
      <alignment horizontal="center" vertical="center"/>
    </xf>
    <xf numFmtId="0" fontId="63" fillId="6" borderId="148" xfId="194" applyFont="1" applyFill="1" applyBorder="1" applyAlignment="1">
      <alignment horizontal="center" vertical="center" wrapText="1"/>
    </xf>
    <xf numFmtId="0" fontId="63" fillId="6" borderId="149" xfId="194" applyFont="1" applyFill="1" applyBorder="1" applyAlignment="1">
      <alignment horizontal="center" vertical="center"/>
    </xf>
    <xf numFmtId="0" fontId="62" fillId="6" borderId="98" xfId="194" applyFont="1" applyFill="1" applyBorder="1" applyAlignment="1">
      <alignment horizontal="center" vertical="center"/>
    </xf>
    <xf numFmtId="0" fontId="63" fillId="6" borderId="99" xfId="194" applyFont="1" applyFill="1" applyBorder="1" applyAlignment="1">
      <alignment horizontal="center" vertical="center"/>
    </xf>
    <xf numFmtId="0" fontId="63" fillId="6" borderId="100" xfId="194" applyFont="1" applyFill="1" applyBorder="1" applyAlignment="1">
      <alignment horizontal="center" vertical="center"/>
    </xf>
    <xf numFmtId="0" fontId="63" fillId="6" borderId="77" xfId="194" applyFont="1" applyFill="1" applyBorder="1" applyAlignment="1">
      <alignment horizontal="center" vertical="center"/>
    </xf>
    <xf numFmtId="0" fontId="63" fillId="6" borderId="84" xfId="194" applyFont="1" applyFill="1" applyBorder="1" applyAlignment="1">
      <alignment horizontal="center" vertical="center"/>
    </xf>
    <xf numFmtId="0" fontId="63" fillId="6" borderId="79" xfId="194" applyFont="1" applyFill="1" applyBorder="1" applyAlignment="1">
      <alignment horizontal="center" vertical="center"/>
    </xf>
    <xf numFmtId="0" fontId="63" fillId="6" borderId="82" xfId="194" applyFont="1" applyFill="1" applyBorder="1" applyAlignment="1">
      <alignment horizontal="center" vertical="center"/>
    </xf>
    <xf numFmtId="0" fontId="63" fillId="6" borderId="94" xfId="194" applyFont="1" applyFill="1" applyBorder="1" applyAlignment="1">
      <alignment horizontal="center" vertical="center"/>
    </xf>
    <xf numFmtId="0" fontId="63" fillId="6" borderId="78" xfId="194" applyFont="1" applyFill="1" applyBorder="1" applyAlignment="1">
      <alignment horizontal="center" vertical="center"/>
    </xf>
    <xf numFmtId="0" fontId="63" fillId="6" borderId="95" xfId="194" applyFont="1" applyFill="1" applyBorder="1" applyAlignment="1">
      <alignment horizontal="center" vertical="center"/>
    </xf>
    <xf numFmtId="0" fontId="63" fillId="6" borderId="96" xfId="194" applyFont="1" applyFill="1" applyBorder="1" applyAlignment="1">
      <alignment horizontal="center" vertical="center"/>
    </xf>
    <xf numFmtId="0" fontId="63" fillId="6" borderId="97" xfId="194" applyFont="1" applyFill="1" applyBorder="1" applyAlignment="1">
      <alignment horizontal="center" vertical="center"/>
    </xf>
    <xf numFmtId="0" fontId="63" fillId="6" borderId="101" xfId="194" applyFont="1" applyFill="1" applyBorder="1" applyAlignment="1">
      <alignment horizontal="center" vertical="center"/>
    </xf>
    <xf numFmtId="0" fontId="63" fillId="6" borderId="110" xfId="194" applyFont="1" applyFill="1" applyBorder="1" applyAlignment="1">
      <alignment horizontal="center" vertical="center"/>
    </xf>
    <xf numFmtId="0" fontId="63" fillId="6" borderId="105" xfId="194" applyFont="1" applyFill="1" applyBorder="1" applyAlignment="1">
      <alignment horizontal="center" vertical="center"/>
    </xf>
    <xf numFmtId="0" fontId="63" fillId="6" borderId="112" xfId="194" applyFont="1" applyFill="1" applyBorder="1" applyAlignment="1">
      <alignment horizontal="center" vertical="center"/>
    </xf>
    <xf numFmtId="0" fontId="45" fillId="43" borderId="10" xfId="0" applyFont="1" applyFill="1" applyBorder="1" applyAlignment="1">
      <alignment horizontal="center" vertical="center"/>
    </xf>
    <xf numFmtId="180" fontId="45" fillId="12" borderId="99" xfId="1" applyNumberFormat="1" applyFont="1" applyFill="1" applyBorder="1" applyAlignment="1">
      <alignment horizontal="center" vertical="center"/>
    </xf>
    <xf numFmtId="180" fontId="45" fillId="12" borderId="41" xfId="1" applyNumberFormat="1" applyFont="1" applyFill="1" applyBorder="1" applyAlignment="1">
      <alignment horizontal="center" vertical="center"/>
    </xf>
    <xf numFmtId="180" fontId="50" fillId="12" borderId="59" xfId="1" applyNumberFormat="1" applyFont="1" applyFill="1" applyBorder="1" applyAlignment="1">
      <alignment horizontal="center" vertical="center" wrapText="1"/>
    </xf>
    <xf numFmtId="180" fontId="50" fillId="12" borderId="155" xfId="1" applyNumberFormat="1" applyFont="1" applyFill="1" applyBorder="1" applyAlignment="1">
      <alignment horizontal="center" vertical="center"/>
    </xf>
    <xf numFmtId="0" fontId="45" fillId="12" borderId="1" xfId="0" applyFont="1" applyFill="1" applyBorder="1" applyAlignment="1">
      <alignment horizontal="center" vertical="center"/>
    </xf>
    <xf numFmtId="0" fontId="45" fillId="12" borderId="12" xfId="0" applyFont="1" applyFill="1" applyBorder="1" applyAlignment="1">
      <alignment horizontal="center" vertical="center"/>
    </xf>
    <xf numFmtId="0" fontId="45" fillId="12" borderId="2" xfId="0" applyFont="1" applyFill="1" applyBorder="1" applyAlignment="1">
      <alignment horizontal="center" vertical="center"/>
    </xf>
    <xf numFmtId="0" fontId="45" fillId="12" borderId="9" xfId="0" applyFont="1" applyFill="1" applyBorder="1" applyAlignment="1">
      <alignment horizontal="center" vertical="center"/>
    </xf>
    <xf numFmtId="0" fontId="45" fillId="12" borderId="2" xfId="0" applyFont="1" applyFill="1" applyBorder="1" applyAlignment="1">
      <alignment horizontal="center" vertical="center" wrapText="1"/>
    </xf>
    <xf numFmtId="0" fontId="45" fillId="12" borderId="9" xfId="0" applyFont="1" applyFill="1" applyBorder="1" applyAlignment="1">
      <alignment horizontal="center" vertical="center" wrapText="1"/>
    </xf>
    <xf numFmtId="180" fontId="45" fillId="12" borderId="177" xfId="1" applyNumberFormat="1" applyFont="1" applyFill="1" applyBorder="1" applyAlignment="1">
      <alignment horizontal="center" vertical="center"/>
    </xf>
    <xf numFmtId="180" fontId="45" fillId="12" borderId="158" xfId="1" applyNumberFormat="1" applyFont="1" applyFill="1" applyBorder="1" applyAlignment="1">
      <alignment horizontal="center" vertical="center"/>
    </xf>
    <xf numFmtId="0" fontId="45" fillId="6" borderId="16" xfId="0" applyFont="1" applyFill="1" applyBorder="1" applyAlignment="1">
      <alignment horizontal="distributed" vertical="center" indent="1"/>
    </xf>
    <xf numFmtId="0" fontId="45" fillId="6" borderId="9" xfId="0" applyFont="1" applyFill="1" applyBorder="1" applyAlignment="1">
      <alignment horizontal="distributed" vertical="center" indent="1"/>
    </xf>
    <xf numFmtId="0" fontId="45" fillId="6" borderId="16" xfId="0" applyFont="1" applyFill="1" applyBorder="1" applyAlignment="1">
      <alignment horizontal="center" vertical="center"/>
    </xf>
    <xf numFmtId="0" fontId="45" fillId="6" borderId="9" xfId="0" applyFont="1" applyFill="1" applyBorder="1" applyAlignment="1">
      <alignment horizontal="center" vertical="center"/>
    </xf>
    <xf numFmtId="0" fontId="45" fillId="12" borderId="66" xfId="0" applyFont="1" applyFill="1" applyBorder="1" applyAlignment="1">
      <alignment horizontal="center" vertical="center"/>
    </xf>
    <xf numFmtId="180" fontId="45" fillId="0" borderId="66" xfId="1" applyNumberFormat="1" applyFont="1" applyBorder="1" applyAlignment="1">
      <alignment horizontal="center" vertical="center"/>
    </xf>
    <xf numFmtId="180" fontId="45" fillId="0" borderId="47" xfId="1" applyNumberFormat="1" applyFont="1" applyBorder="1" applyAlignment="1">
      <alignment horizontal="center" vertical="center"/>
    </xf>
    <xf numFmtId="0" fontId="45" fillId="2" borderId="16" xfId="0" applyFont="1" applyFill="1" applyBorder="1" applyAlignment="1">
      <alignment horizontal="center" vertical="center" wrapText="1"/>
    </xf>
    <xf numFmtId="0" fontId="45" fillId="2" borderId="8" xfId="0" applyFont="1" applyFill="1" applyBorder="1" applyAlignment="1">
      <alignment horizontal="center" vertical="center" wrapText="1"/>
    </xf>
    <xf numFmtId="0" fontId="45" fillId="2" borderId="9" xfId="0" applyFont="1" applyFill="1" applyBorder="1" applyAlignment="1">
      <alignment horizontal="center" vertical="center" wrapText="1"/>
    </xf>
    <xf numFmtId="0" fontId="45" fillId="35" borderId="16" xfId="0" applyFont="1" applyFill="1" applyBorder="1" applyAlignment="1">
      <alignment horizontal="center" vertical="center" wrapText="1"/>
    </xf>
    <xf numFmtId="0" fontId="45" fillId="35" borderId="8" xfId="0" applyFont="1" applyFill="1" applyBorder="1" applyAlignment="1">
      <alignment horizontal="center" vertical="center" wrapText="1"/>
    </xf>
    <xf numFmtId="0" fontId="45" fillId="35" borderId="9" xfId="0" applyFont="1" applyFill="1" applyBorder="1" applyAlignment="1">
      <alignment horizontal="center" vertical="center" wrapText="1"/>
    </xf>
    <xf numFmtId="178" fontId="45" fillId="35" borderId="16" xfId="0" applyNumberFormat="1" applyFont="1" applyFill="1" applyBorder="1" applyAlignment="1">
      <alignment horizontal="center" vertical="center"/>
    </xf>
    <xf numFmtId="178" fontId="45" fillId="35" borderId="8" xfId="0" applyNumberFormat="1" applyFont="1" applyFill="1" applyBorder="1" applyAlignment="1">
      <alignment horizontal="center" vertical="center"/>
    </xf>
    <xf numFmtId="178" fontId="45" fillId="35" borderId="9" xfId="0" applyNumberFormat="1" applyFont="1" applyFill="1" applyBorder="1" applyAlignment="1">
      <alignment horizontal="center" vertical="center"/>
    </xf>
    <xf numFmtId="0" fontId="67" fillId="37" borderId="0" xfId="194" applyFont="1" applyFill="1" applyAlignment="1">
      <alignment horizontal="center" vertical="center"/>
    </xf>
    <xf numFmtId="0" fontId="55" fillId="12" borderId="10" xfId="194" quotePrefix="1" applyFont="1" applyFill="1" applyBorder="1" applyAlignment="1">
      <alignment horizontal="left" vertical="center" wrapText="1"/>
    </xf>
    <xf numFmtId="0" fontId="55" fillId="12" borderId="10" xfId="194" applyFont="1" applyFill="1" applyBorder="1" applyAlignment="1">
      <alignment horizontal="left" vertical="center"/>
    </xf>
    <xf numFmtId="0" fontId="55" fillId="12" borderId="72" xfId="194" quotePrefix="1" applyFont="1" applyFill="1" applyBorder="1" applyAlignment="1">
      <alignment horizontal="left" vertical="center" wrapText="1"/>
    </xf>
    <xf numFmtId="0" fontId="55" fillId="12" borderId="156" xfId="194" applyFont="1" applyFill="1" applyBorder="1" applyAlignment="1">
      <alignment horizontal="left" vertical="center"/>
    </xf>
    <xf numFmtId="0" fontId="55" fillId="12" borderId="74" xfId="194" applyFont="1" applyFill="1" applyBorder="1" applyAlignment="1">
      <alignment horizontal="left" vertical="center"/>
    </xf>
    <xf numFmtId="0" fontId="55" fillId="12" borderId="40" xfId="194" applyFont="1" applyFill="1" applyBorder="1" applyAlignment="1">
      <alignment horizontal="left" vertical="center"/>
    </xf>
    <xf numFmtId="0" fontId="55" fillId="12" borderId="0" xfId="194" applyFont="1" applyFill="1" applyBorder="1" applyAlignment="1">
      <alignment horizontal="left" vertical="center"/>
    </xf>
    <xf numFmtId="0" fontId="55" fillId="12" borderId="157" xfId="194" applyFont="1" applyFill="1" applyBorder="1" applyAlignment="1">
      <alignment horizontal="left" vertical="center"/>
    </xf>
    <xf numFmtId="0" fontId="55" fillId="12" borderId="158" xfId="194" applyFont="1" applyFill="1" applyBorder="1" applyAlignment="1">
      <alignment horizontal="left" vertical="center"/>
    </xf>
    <xf numFmtId="0" fontId="55" fillId="12" borderId="154" xfId="194" applyFont="1" applyFill="1" applyBorder="1" applyAlignment="1">
      <alignment horizontal="left" vertical="center"/>
    </xf>
    <xf numFmtId="0" fontId="55" fillId="12" borderId="159" xfId="194" applyFont="1" applyFill="1" applyBorder="1" applyAlignment="1">
      <alignment horizontal="left" vertical="center"/>
    </xf>
    <xf numFmtId="0" fontId="45" fillId="38" borderId="16" xfId="0" applyFont="1" applyFill="1" applyBorder="1" applyAlignment="1">
      <alignment horizontal="center" vertical="center" wrapText="1"/>
    </xf>
    <xf numFmtId="0" fontId="45" fillId="38" borderId="8" xfId="0" applyFont="1" applyFill="1" applyBorder="1" applyAlignment="1">
      <alignment horizontal="center" vertical="center"/>
    </xf>
    <xf numFmtId="0" fontId="45" fillId="38" borderId="9" xfId="0" applyFont="1" applyFill="1" applyBorder="1" applyAlignment="1">
      <alignment horizontal="center" vertical="center"/>
    </xf>
    <xf numFmtId="0" fontId="66" fillId="12" borderId="16" xfId="194" applyFont="1" applyFill="1" applyBorder="1" applyAlignment="1">
      <alignment horizontal="center" vertical="center"/>
    </xf>
    <xf numFmtId="0" fontId="44" fillId="6" borderId="10" xfId="0" applyFont="1" applyFill="1" applyBorder="1" applyAlignment="1">
      <alignment horizontal="center" vertical="center" wrapText="1"/>
    </xf>
    <xf numFmtId="0" fontId="44" fillId="6" borderId="10" xfId="0" applyFont="1" applyFill="1" applyBorder="1" applyAlignment="1">
      <alignment horizontal="center" vertical="center"/>
    </xf>
    <xf numFmtId="178" fontId="44" fillId="6" borderId="16" xfId="0" applyNumberFormat="1" applyFont="1" applyFill="1" applyBorder="1" applyAlignment="1">
      <alignment horizontal="center" vertical="center"/>
    </xf>
    <xf numFmtId="178" fontId="44" fillId="6" borderId="8" xfId="0" applyNumberFormat="1" applyFont="1" applyFill="1" applyBorder="1" applyAlignment="1">
      <alignment horizontal="center" vertical="center"/>
    </xf>
    <xf numFmtId="0" fontId="44" fillId="6" borderId="16" xfId="0" applyFont="1" applyFill="1" applyBorder="1" applyAlignment="1">
      <alignment horizontal="center" vertical="center" wrapText="1"/>
    </xf>
    <xf numFmtId="0" fontId="44" fillId="6" borderId="8" xfId="0" applyFont="1" applyFill="1" applyBorder="1" applyAlignment="1">
      <alignment horizontal="center" vertical="center" wrapText="1"/>
    </xf>
    <xf numFmtId="178" fontId="45" fillId="38" borderId="16" xfId="0" applyNumberFormat="1" applyFont="1" applyFill="1" applyBorder="1" applyAlignment="1">
      <alignment horizontal="center" vertical="center"/>
    </xf>
    <xf numFmtId="178" fontId="45" fillId="38" borderId="8" xfId="0" applyNumberFormat="1" applyFont="1" applyFill="1" applyBorder="1" applyAlignment="1">
      <alignment horizontal="center" vertical="center"/>
    </xf>
    <xf numFmtId="178" fontId="45" fillId="38" borderId="9" xfId="0" applyNumberFormat="1" applyFont="1" applyFill="1" applyBorder="1" applyAlignment="1">
      <alignment horizontal="center" vertical="center"/>
    </xf>
    <xf numFmtId="0" fontId="45" fillId="38" borderId="10" xfId="0" applyFont="1" applyFill="1" applyBorder="1" applyAlignment="1">
      <alignment horizontal="center" vertical="center" wrapText="1"/>
    </xf>
    <xf numFmtId="0" fontId="45" fillId="38" borderId="10" xfId="0" applyFont="1" applyFill="1" applyBorder="1" applyAlignment="1">
      <alignment horizontal="center" vertical="center"/>
    </xf>
    <xf numFmtId="178" fontId="55" fillId="38" borderId="16" xfId="194" applyNumberFormat="1" applyFont="1" applyFill="1" applyBorder="1" applyAlignment="1">
      <alignment horizontal="center" vertical="center"/>
    </xf>
    <xf numFmtId="178" fontId="55" fillId="38" borderId="8" xfId="194" applyNumberFormat="1" applyFont="1" applyFill="1" applyBorder="1" applyAlignment="1">
      <alignment horizontal="center" vertical="center"/>
    </xf>
    <xf numFmtId="178" fontId="55" fillId="38" borderId="9" xfId="194" applyNumberFormat="1" applyFont="1" applyFill="1" applyBorder="1" applyAlignment="1">
      <alignment horizontal="center" vertical="center"/>
    </xf>
    <xf numFmtId="178" fontId="55" fillId="2" borderId="16" xfId="194" applyNumberFormat="1" applyFont="1" applyFill="1" applyBorder="1" applyAlignment="1">
      <alignment horizontal="center" vertical="center"/>
    </xf>
    <xf numFmtId="178" fontId="55" fillId="2" borderId="8" xfId="194" applyNumberFormat="1" applyFont="1" applyFill="1" applyBorder="1" applyAlignment="1">
      <alignment horizontal="center" vertical="center"/>
    </xf>
    <xf numFmtId="178" fontId="55" fillId="2" borderId="9" xfId="194" applyNumberFormat="1" applyFont="1" applyFill="1" applyBorder="1" applyAlignment="1">
      <alignment horizontal="center" vertical="center"/>
    </xf>
    <xf numFmtId="178" fontId="55" fillId="3" borderId="16" xfId="194" applyNumberFormat="1" applyFont="1" applyFill="1" applyBorder="1" applyAlignment="1">
      <alignment horizontal="center" vertical="center"/>
    </xf>
    <xf numFmtId="178" fontId="55" fillId="3" borderId="8" xfId="194" applyNumberFormat="1" applyFont="1" applyFill="1" applyBorder="1" applyAlignment="1">
      <alignment horizontal="center" vertical="center"/>
    </xf>
    <xf numFmtId="178" fontId="55" fillId="3" borderId="9" xfId="194" applyNumberFormat="1" applyFont="1" applyFill="1" applyBorder="1" applyAlignment="1">
      <alignment horizontal="center" vertical="center"/>
    </xf>
    <xf numFmtId="178" fontId="55" fillId="40" borderId="16" xfId="194" applyNumberFormat="1" applyFont="1" applyFill="1" applyBorder="1" applyAlignment="1">
      <alignment horizontal="center" vertical="center"/>
    </xf>
    <xf numFmtId="178" fontId="55" fillId="40" borderId="8" xfId="194" applyNumberFormat="1" applyFont="1" applyFill="1" applyBorder="1" applyAlignment="1">
      <alignment horizontal="center" vertical="center"/>
    </xf>
    <xf numFmtId="178" fontId="55" fillId="40" borderId="9" xfId="194" applyNumberFormat="1" applyFont="1" applyFill="1" applyBorder="1" applyAlignment="1">
      <alignment horizontal="center" vertical="center"/>
    </xf>
    <xf numFmtId="0" fontId="55" fillId="40" borderId="16" xfId="194" applyFont="1" applyFill="1" applyBorder="1" applyAlignment="1">
      <alignment horizontal="center" vertical="center" wrapText="1"/>
    </xf>
    <xf numFmtId="0" fontId="55" fillId="40" borderId="8" xfId="194" applyFont="1" applyFill="1" applyBorder="1" applyAlignment="1">
      <alignment horizontal="center" vertical="center"/>
    </xf>
    <xf numFmtId="0" fontId="55" fillId="40" borderId="9" xfId="194" applyFont="1" applyFill="1" applyBorder="1" applyAlignment="1">
      <alignment horizontal="center" vertical="center"/>
    </xf>
    <xf numFmtId="185" fontId="55" fillId="40" borderId="16" xfId="194" applyNumberFormat="1" applyFont="1" applyFill="1" applyBorder="1" applyAlignment="1">
      <alignment horizontal="center" vertical="center" wrapText="1"/>
    </xf>
    <xf numFmtId="185" fontId="55" fillId="40" borderId="8" xfId="194" applyNumberFormat="1" applyFont="1" applyFill="1" applyBorder="1" applyAlignment="1">
      <alignment horizontal="center" vertical="center"/>
    </xf>
    <xf numFmtId="185" fontId="55" fillId="40" borderId="9" xfId="194" applyNumberFormat="1" applyFont="1" applyFill="1" applyBorder="1" applyAlignment="1">
      <alignment horizontal="center" vertical="center"/>
    </xf>
    <xf numFmtId="0" fontId="55" fillId="38" borderId="16" xfId="194" applyFont="1" applyFill="1" applyBorder="1" applyAlignment="1">
      <alignment horizontal="center" vertical="center" wrapText="1"/>
    </xf>
    <xf numFmtId="0" fontId="55" fillId="38" borderId="8" xfId="194" applyFont="1" applyFill="1" applyBorder="1" applyAlignment="1">
      <alignment horizontal="center" vertical="center"/>
    </xf>
    <xf numFmtId="0" fontId="55" fillId="38" borderId="9" xfId="194" applyFont="1" applyFill="1" applyBorder="1" applyAlignment="1">
      <alignment horizontal="center" vertical="center"/>
    </xf>
    <xf numFmtId="185" fontId="55" fillId="38" borderId="16" xfId="194" applyNumberFormat="1" applyFont="1" applyFill="1" applyBorder="1" applyAlignment="1">
      <alignment horizontal="center" vertical="center" wrapText="1"/>
    </xf>
    <xf numFmtId="185" fontId="55" fillId="38" borderId="8" xfId="194" applyNumberFormat="1" applyFont="1" applyFill="1" applyBorder="1" applyAlignment="1">
      <alignment horizontal="center" vertical="center"/>
    </xf>
    <xf numFmtId="185" fontId="55" fillId="38" borderId="9" xfId="194" applyNumberFormat="1" applyFont="1" applyFill="1" applyBorder="1" applyAlignment="1">
      <alignment horizontal="center" vertical="center"/>
    </xf>
    <xf numFmtId="0" fontId="55" fillId="2" borderId="16" xfId="194" applyFont="1" applyFill="1" applyBorder="1" applyAlignment="1">
      <alignment horizontal="center" vertical="center" wrapText="1"/>
    </xf>
    <xf numFmtId="0" fontId="55" fillId="2" borderId="8" xfId="194" applyFont="1" applyFill="1" applyBorder="1" applyAlignment="1">
      <alignment horizontal="center" vertical="center"/>
    </xf>
    <xf numFmtId="0" fontId="55" fillId="2" borderId="9" xfId="194" applyFont="1" applyFill="1" applyBorder="1" applyAlignment="1">
      <alignment horizontal="center" vertical="center"/>
    </xf>
    <xf numFmtId="185" fontId="55" fillId="2" borderId="16" xfId="194" applyNumberFormat="1" applyFont="1" applyFill="1" applyBorder="1" applyAlignment="1">
      <alignment horizontal="center" vertical="center" wrapText="1"/>
    </xf>
    <xf numFmtId="185" fontId="55" fillId="2" borderId="8" xfId="194" applyNumberFormat="1" applyFont="1" applyFill="1" applyBorder="1" applyAlignment="1">
      <alignment horizontal="center" vertical="center"/>
    </xf>
    <xf numFmtId="185" fontId="55" fillId="2" borderId="9" xfId="194" applyNumberFormat="1" applyFont="1" applyFill="1" applyBorder="1" applyAlignment="1">
      <alignment horizontal="center" vertical="center"/>
    </xf>
    <xf numFmtId="0" fontId="55" fillId="3" borderId="16" xfId="194" applyFont="1" applyFill="1" applyBorder="1" applyAlignment="1">
      <alignment horizontal="center" vertical="center" wrapText="1"/>
    </xf>
    <xf numFmtId="0" fontId="55" fillId="3" borderId="8" xfId="194" applyFont="1" applyFill="1" applyBorder="1" applyAlignment="1">
      <alignment horizontal="center" vertical="center"/>
    </xf>
    <xf numFmtId="0" fontId="55" fillId="3" borderId="9" xfId="194" applyFont="1" applyFill="1" applyBorder="1" applyAlignment="1">
      <alignment horizontal="center" vertical="center"/>
    </xf>
    <xf numFmtId="185" fontId="55" fillId="3" borderId="16" xfId="194" applyNumberFormat="1" applyFont="1" applyFill="1" applyBorder="1" applyAlignment="1">
      <alignment horizontal="center" vertical="center" wrapText="1"/>
    </xf>
    <xf numFmtId="185" fontId="55" fillId="3" borderId="8" xfId="194" applyNumberFormat="1" applyFont="1" applyFill="1" applyBorder="1" applyAlignment="1">
      <alignment horizontal="center" vertical="center"/>
    </xf>
    <xf numFmtId="185" fontId="55" fillId="3" borderId="9" xfId="194" applyNumberFormat="1" applyFont="1" applyFill="1" applyBorder="1" applyAlignment="1">
      <alignment horizontal="center" vertical="center"/>
    </xf>
    <xf numFmtId="0" fontId="44" fillId="2" borderId="8" xfId="0" applyFont="1" applyFill="1" applyBorder="1" applyAlignment="1">
      <alignment horizontal="center" vertical="center" wrapText="1"/>
    </xf>
    <xf numFmtId="0" fontId="44" fillId="2" borderId="8" xfId="0" applyFont="1" applyFill="1" applyBorder="1" applyAlignment="1">
      <alignment horizontal="center" vertical="center"/>
    </xf>
    <xf numFmtId="0" fontId="44" fillId="2" borderId="9" xfId="0" applyFont="1" applyFill="1" applyBorder="1" applyAlignment="1">
      <alignment horizontal="center" vertical="center"/>
    </xf>
    <xf numFmtId="178" fontId="45" fillId="41" borderId="16" xfId="0" applyNumberFormat="1" applyFont="1" applyFill="1" applyBorder="1" applyAlignment="1">
      <alignment horizontal="center" vertical="center"/>
    </xf>
    <xf numFmtId="178" fontId="45" fillId="41" borderId="8" xfId="0" applyNumberFormat="1" applyFont="1" applyFill="1" applyBorder="1" applyAlignment="1">
      <alignment horizontal="center" vertical="center"/>
    </xf>
    <xf numFmtId="178" fontId="45" fillId="39" borderId="10" xfId="0" applyNumberFormat="1" applyFont="1" applyFill="1" applyBorder="1" applyAlignment="1">
      <alignment horizontal="center" vertical="center"/>
    </xf>
    <xf numFmtId="0" fontId="45" fillId="41" borderId="16" xfId="0" applyFont="1" applyFill="1" applyBorder="1" applyAlignment="1">
      <alignment horizontal="center" vertical="center" wrapText="1"/>
    </xf>
    <xf numFmtId="0" fontId="45" fillId="41" borderId="8" xfId="0" applyFont="1" applyFill="1" applyBorder="1" applyAlignment="1">
      <alignment horizontal="center" vertical="center" wrapText="1"/>
    </xf>
    <xf numFmtId="0" fontId="44" fillId="38" borderId="16" xfId="0" applyFont="1" applyFill="1" applyBorder="1" applyAlignment="1">
      <alignment horizontal="center" vertical="center" wrapText="1"/>
    </xf>
    <xf numFmtId="0" fontId="44" fillId="38" borderId="8" xfId="0" applyFont="1" applyFill="1" applyBorder="1" applyAlignment="1">
      <alignment horizontal="center" vertical="center" wrapText="1"/>
    </xf>
    <xf numFmtId="0" fontId="44" fillId="38" borderId="9" xfId="0" applyFont="1" applyFill="1" applyBorder="1" applyAlignment="1">
      <alignment horizontal="center" vertical="center" wrapText="1"/>
    </xf>
    <xf numFmtId="178" fontId="44" fillId="38" borderId="16" xfId="0" applyNumberFormat="1" applyFont="1" applyFill="1" applyBorder="1" applyAlignment="1">
      <alignment horizontal="center" vertical="center"/>
    </xf>
    <xf numFmtId="178" fontId="44" fillId="38" borderId="8" xfId="0" applyNumberFormat="1" applyFont="1" applyFill="1" applyBorder="1" applyAlignment="1">
      <alignment horizontal="center" vertical="center"/>
    </xf>
    <xf numFmtId="178" fontId="44" fillId="38" borderId="9" xfId="0" applyNumberFormat="1" applyFont="1" applyFill="1" applyBorder="1" applyAlignment="1">
      <alignment horizontal="center" vertical="center"/>
    </xf>
    <xf numFmtId="178" fontId="45" fillId="2" borderId="16" xfId="0" applyNumberFormat="1" applyFont="1" applyFill="1" applyBorder="1" applyAlignment="1">
      <alignment horizontal="center" vertical="center"/>
    </xf>
    <xf numFmtId="178" fontId="45" fillId="2" borderId="8" xfId="0" applyNumberFormat="1" applyFont="1" applyFill="1" applyBorder="1" applyAlignment="1">
      <alignment horizontal="center" vertical="center"/>
    </xf>
    <xf numFmtId="178" fontId="45" fillId="2" borderId="9" xfId="0" applyNumberFormat="1" applyFont="1" applyFill="1" applyBorder="1" applyAlignment="1">
      <alignment horizontal="center" vertical="center"/>
    </xf>
    <xf numFmtId="0" fontId="45" fillId="39" borderId="10" xfId="0" applyFont="1" applyFill="1" applyBorder="1" applyAlignment="1">
      <alignment horizontal="center" vertical="center" wrapText="1"/>
    </xf>
    <xf numFmtId="0" fontId="45" fillId="39" borderId="16" xfId="0" applyFont="1" applyFill="1" applyBorder="1" applyAlignment="1">
      <alignment horizontal="center" vertical="center" wrapText="1"/>
    </xf>
    <xf numFmtId="0" fontId="45" fillId="39" borderId="8" xfId="0" applyFont="1" applyFill="1" applyBorder="1" applyAlignment="1">
      <alignment horizontal="center" vertical="center" wrapText="1"/>
    </xf>
    <xf numFmtId="0" fontId="45" fillId="39" borderId="9" xfId="0" applyFont="1" applyFill="1" applyBorder="1" applyAlignment="1">
      <alignment horizontal="center" vertical="center" wrapText="1"/>
    </xf>
    <xf numFmtId="178" fontId="44" fillId="2" borderId="10" xfId="0" applyNumberFormat="1" applyFont="1" applyFill="1" applyBorder="1" applyAlignment="1">
      <alignment horizontal="center" vertical="center"/>
    </xf>
    <xf numFmtId="0" fontId="44" fillId="2" borderId="10" xfId="0" applyFont="1" applyFill="1" applyBorder="1" applyAlignment="1">
      <alignment horizontal="center" vertical="center" wrapText="1"/>
    </xf>
    <xf numFmtId="0" fontId="44" fillId="35" borderId="10" xfId="0" applyFont="1" applyFill="1" applyBorder="1" applyAlignment="1">
      <alignment horizontal="center" vertical="center"/>
    </xf>
    <xf numFmtId="0" fontId="44" fillId="35" borderId="66" xfId="0" applyFont="1" applyFill="1" applyBorder="1" applyAlignment="1">
      <alignment horizontal="center" vertical="center"/>
    </xf>
    <xf numFmtId="0" fontId="44" fillId="35" borderId="67" xfId="0" applyFont="1" applyFill="1" applyBorder="1" applyAlignment="1">
      <alignment horizontal="center" vertical="center"/>
    </xf>
    <xf numFmtId="0" fontId="44" fillId="35" borderId="47" xfId="0" applyFont="1" applyFill="1" applyBorder="1" applyAlignment="1">
      <alignment horizontal="center" vertical="center"/>
    </xf>
    <xf numFmtId="0" fontId="3" fillId="10" borderId="41" xfId="3" applyFont="1" applyFill="1" applyBorder="1" applyAlignment="1">
      <alignment horizontal="center" vertical="center"/>
    </xf>
    <xf numFmtId="0" fontId="3" fillId="10" borderId="25" xfId="3" applyFont="1" applyFill="1" applyBorder="1" applyAlignment="1">
      <alignment horizontal="center" vertical="center"/>
    </xf>
    <xf numFmtId="0" fontId="3" fillId="10" borderId="16" xfId="3" applyFont="1" applyFill="1" applyBorder="1" applyAlignment="1">
      <alignment horizontal="center" vertical="center"/>
    </xf>
    <xf numFmtId="0" fontId="3" fillId="10" borderId="26" xfId="3" applyFont="1" applyFill="1" applyBorder="1" applyAlignment="1">
      <alignment horizontal="center" vertical="center" wrapText="1"/>
    </xf>
    <xf numFmtId="0" fontId="3" fillId="10" borderId="17" xfId="3" applyFont="1" applyFill="1" applyBorder="1" applyAlignment="1">
      <alignment horizontal="center" vertical="center"/>
    </xf>
    <xf numFmtId="0" fontId="17" fillId="9" borderId="0" xfId="3" applyFont="1" applyFill="1" applyAlignment="1">
      <alignment horizontal="center" vertical="center"/>
    </xf>
    <xf numFmtId="0" fontId="3" fillId="10" borderId="0" xfId="3" applyFont="1" applyFill="1" applyBorder="1" applyAlignment="1">
      <alignment horizontal="center" vertical="center"/>
    </xf>
    <xf numFmtId="0" fontId="3" fillId="10" borderId="38" xfId="3" applyFont="1" applyFill="1" applyBorder="1" applyAlignment="1">
      <alignment horizontal="center" vertical="center"/>
    </xf>
    <xf numFmtId="0" fontId="3" fillId="10" borderId="15" xfId="3" applyFont="1" applyFill="1" applyBorder="1" applyAlignment="1">
      <alignment horizontal="center" vertical="center"/>
    </xf>
    <xf numFmtId="0" fontId="21" fillId="10" borderId="25" xfId="3" applyFont="1" applyFill="1" applyBorder="1" applyAlignment="1">
      <alignment horizontal="center" vertical="center" wrapText="1"/>
    </xf>
    <xf numFmtId="0" fontId="21" fillId="10" borderId="16" xfId="3" applyFont="1" applyFill="1" applyBorder="1" applyAlignment="1">
      <alignment horizontal="center" vertical="center"/>
    </xf>
    <xf numFmtId="0" fontId="3" fillId="10" borderId="25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/>
    </xf>
    <xf numFmtId="0" fontId="3" fillId="0" borderId="39" xfId="3" applyFont="1" applyFill="1" applyBorder="1" applyAlignment="1">
      <alignment horizontal="center" vertical="center"/>
    </xf>
    <xf numFmtId="0" fontId="3" fillId="2" borderId="25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25" xfId="3" applyFont="1" applyFill="1" applyBorder="1" applyAlignment="1">
      <alignment horizontal="center" vertical="center" wrapText="1"/>
    </xf>
    <xf numFmtId="0" fontId="3" fillId="2" borderId="26" xfId="3" applyFont="1" applyFill="1" applyBorder="1" applyAlignment="1">
      <alignment horizontal="center" vertical="center" wrapText="1"/>
    </xf>
    <xf numFmtId="0" fontId="3" fillId="2" borderId="13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176" fontId="3" fillId="0" borderId="14" xfId="3" applyNumberFormat="1" applyFont="1" applyFill="1" applyBorder="1" applyAlignment="1">
      <alignment horizontal="center" vertical="center"/>
    </xf>
    <xf numFmtId="176" fontId="3" fillId="0" borderId="39" xfId="3" applyNumberFormat="1" applyFont="1" applyFill="1" applyBorder="1" applyAlignment="1">
      <alignment horizontal="center" vertical="center"/>
    </xf>
    <xf numFmtId="0" fontId="10" fillId="8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3" fillId="2" borderId="6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center" vertical="center"/>
    </xf>
    <xf numFmtId="0" fontId="3" fillId="0" borderId="18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176" fontId="3" fillId="0" borderId="15" xfId="3" applyNumberFormat="1" applyFont="1" applyFill="1" applyBorder="1" applyAlignment="1">
      <alignment horizontal="center" vertical="center"/>
    </xf>
    <xf numFmtId="176" fontId="3" fillId="0" borderId="7" xfId="3" applyNumberFormat="1" applyFont="1" applyFill="1" applyBorder="1" applyAlignment="1">
      <alignment horizontal="center" vertical="center"/>
    </xf>
    <xf numFmtId="176" fontId="3" fillId="0" borderId="18" xfId="3" applyNumberFormat="1" applyFont="1" applyFill="1" applyBorder="1" applyAlignment="1">
      <alignment horizontal="center" vertical="center"/>
    </xf>
    <xf numFmtId="0" fontId="11" fillId="0" borderId="23" xfId="3" applyFont="1" applyFill="1" applyBorder="1" applyAlignment="1">
      <alignment horizontal="center" vertical="center"/>
    </xf>
    <xf numFmtId="176" fontId="3" fillId="0" borderId="23" xfId="3" applyNumberFormat="1" applyFont="1" applyFill="1" applyBorder="1" applyAlignment="1">
      <alignment horizontal="center" vertical="center"/>
    </xf>
    <xf numFmtId="0" fontId="3" fillId="0" borderId="22" xfId="3" applyFont="1" applyFill="1" applyBorder="1" applyAlignment="1">
      <alignment horizontal="center" vertical="center"/>
    </xf>
    <xf numFmtId="0" fontId="9" fillId="4" borderId="10" xfId="2" applyNumberFormat="1" applyFont="1" applyFill="1" applyBorder="1" applyAlignment="1" applyProtection="1">
      <alignment horizontal="center" vertical="center"/>
    </xf>
  </cellXfs>
  <cellStyles count="197">
    <cellStyle name="??&amp;O?&amp;H?_x0008__x000f__x0007_?_x0007__x0001__x0001_" xfId="175"/>
    <cellStyle name="??&amp;O?&amp;H?_x0008_??_x0007__x0001__x0001_" xfId="176"/>
    <cellStyle name="?W?_laroux" xfId="177"/>
    <cellStyle name="’E‰Y [0.00]_laroux" xfId="178"/>
    <cellStyle name="’E‰Y_laroux" xfId="179"/>
    <cellStyle name="20% - Accent1" xfId="131"/>
    <cellStyle name="20% - Accent2" xfId="132"/>
    <cellStyle name="20% - Accent3" xfId="133"/>
    <cellStyle name="20% - Accent4" xfId="134"/>
    <cellStyle name="20% - Accent5" xfId="135"/>
    <cellStyle name="20% - Accent6" xfId="136"/>
    <cellStyle name="40% - Accent1" xfId="137"/>
    <cellStyle name="40% - Accent2" xfId="138"/>
    <cellStyle name="40% - Accent3" xfId="139"/>
    <cellStyle name="40% - Accent4" xfId="140"/>
    <cellStyle name="40% - Accent5" xfId="141"/>
    <cellStyle name="40% - Accent6" xfId="142"/>
    <cellStyle name="60% - Accent1" xfId="143"/>
    <cellStyle name="60% - Accent2" xfId="144"/>
    <cellStyle name="60% - Accent3" xfId="145"/>
    <cellStyle name="60% - Accent4" xfId="146"/>
    <cellStyle name="60% - Accent5" xfId="147"/>
    <cellStyle name="60% - Accent6" xfId="148"/>
    <cellStyle name="Accent1" xfId="149"/>
    <cellStyle name="Accent2" xfId="150"/>
    <cellStyle name="Accent3" xfId="151"/>
    <cellStyle name="Accent4" xfId="152"/>
    <cellStyle name="Accent5" xfId="153"/>
    <cellStyle name="Accent6" xfId="154"/>
    <cellStyle name="AeE­ [0]_PERSONAL" xfId="180"/>
    <cellStyle name="AeE­_PERSONAL" xfId="181"/>
    <cellStyle name="ALIGNMENT" xfId="182"/>
    <cellStyle name="Bad" xfId="155"/>
    <cellStyle name="C￥AØ_PERSONAL" xfId="183"/>
    <cellStyle name="Calculation" xfId="156"/>
    <cellStyle name="category" xfId="184"/>
    <cellStyle name="Check Cell" xfId="157"/>
    <cellStyle name="Explanatory Text" xfId="158"/>
    <cellStyle name="Good" xfId="159"/>
    <cellStyle name="Heading 1" xfId="160"/>
    <cellStyle name="Heading 2" xfId="161"/>
    <cellStyle name="Heading 3" xfId="162"/>
    <cellStyle name="Heading 4" xfId="163"/>
    <cellStyle name="Input" xfId="164"/>
    <cellStyle name="Linked Cell" xfId="165"/>
    <cellStyle name="Neutral" xfId="166"/>
    <cellStyle name="Note" xfId="167"/>
    <cellStyle name="Output" xfId="168"/>
    <cellStyle name="style1390902756140" xfId="6"/>
    <cellStyle name="style1390902756171" xfId="7"/>
    <cellStyle name="style1390902756453" xfId="8"/>
    <cellStyle name="style1390902756750" xfId="9"/>
    <cellStyle name="style1390902756875" xfId="10"/>
    <cellStyle name="style1390902756937" xfId="11"/>
    <cellStyle name="style1390902756953" xfId="12"/>
    <cellStyle name="style1390902756984" xfId="13"/>
    <cellStyle name="style1390902757000" xfId="14"/>
    <cellStyle name="style1390902757031" xfId="15"/>
    <cellStyle name="style1390902757078" xfId="16"/>
    <cellStyle name="style1390902757109" xfId="17"/>
    <cellStyle name="style1390902757140" xfId="18"/>
    <cellStyle name="style1390902758015" xfId="19"/>
    <cellStyle name="style1390902758046" xfId="20"/>
    <cellStyle name="style1390902758093" xfId="21"/>
    <cellStyle name="style1393481369953" xfId="22"/>
    <cellStyle name="style1393481370562" xfId="23"/>
    <cellStyle name="style1393481370609" xfId="24"/>
    <cellStyle name="style1393481371609" xfId="25"/>
    <cellStyle name="style1393481371640" xfId="26"/>
    <cellStyle name="style1393481371734" xfId="27"/>
    <cellStyle name="style1393481371812" xfId="28"/>
    <cellStyle name="style1393481371843" xfId="29"/>
    <cellStyle name="style1393481371875" xfId="30"/>
    <cellStyle name="style1393481371906" xfId="31"/>
    <cellStyle name="style1393481371921" xfId="32"/>
    <cellStyle name="style1393481372015" xfId="33"/>
    <cellStyle name="style1393481372031" xfId="34"/>
    <cellStyle name="style1395992853953" xfId="35"/>
    <cellStyle name="style1395992854000" xfId="36"/>
    <cellStyle name="style1395992855218" xfId="37"/>
    <cellStyle name="style1395992855234" xfId="38"/>
    <cellStyle name="style1395992855515" xfId="39"/>
    <cellStyle name="style1395992855531" xfId="40"/>
    <cellStyle name="style1395992855609" xfId="41"/>
    <cellStyle name="style1395992855640" xfId="42"/>
    <cellStyle name="style1399447548015" xfId="43"/>
    <cellStyle name="style1402235406890" xfId="44"/>
    <cellStyle name="style1402235407562" xfId="45"/>
    <cellStyle name="style1402235407609" xfId="46"/>
    <cellStyle name="style1402235408218" xfId="47"/>
    <cellStyle name="style1402235408250" xfId="48"/>
    <cellStyle name="style1402235408859" xfId="49"/>
    <cellStyle name="style1402235408890" xfId="50"/>
    <cellStyle name="style1402235409140" xfId="51"/>
    <cellStyle name="style1402235409171" xfId="52"/>
    <cellStyle name="style1402235409281" xfId="53"/>
    <cellStyle name="style1402235409328" xfId="54"/>
    <cellStyle name="style1402235409359" xfId="55"/>
    <cellStyle name="style1402235409390" xfId="56"/>
    <cellStyle name="style1402235409453" xfId="57"/>
    <cellStyle name="style1402235409500" xfId="58"/>
    <cellStyle name="style1402235409593" xfId="59"/>
    <cellStyle name="style1402235409609" xfId="60"/>
    <cellStyle name="style1404372087875" xfId="61"/>
    <cellStyle name="style1404372089203" xfId="62"/>
    <cellStyle name="style1407142247421" xfId="63"/>
    <cellStyle name="style1407142248078" xfId="64"/>
    <cellStyle name="style1407142248140" xfId="65"/>
    <cellStyle name="style1407142249281" xfId="66"/>
    <cellStyle name="style1407142249406" xfId="67"/>
    <cellStyle name="style1407142249500" xfId="68"/>
    <cellStyle name="style1407142249593" xfId="69"/>
    <cellStyle name="style1407142249656" xfId="70"/>
    <cellStyle name="style1407142249687" xfId="71"/>
    <cellStyle name="style1407142249703" xfId="72"/>
    <cellStyle name="style1407142249734" xfId="73"/>
    <cellStyle name="style1407142249765" xfId="74"/>
    <cellStyle name="style1407142249828" xfId="75"/>
    <cellStyle name="style1407142249843" xfId="76"/>
    <cellStyle name="style1409555850203" xfId="77"/>
    <cellStyle name="style1409555851578" xfId="78"/>
    <cellStyle name="style1415001839656" xfId="79"/>
    <cellStyle name="style1415001839828" xfId="80"/>
    <cellStyle name="style1415001839859" xfId="81"/>
    <cellStyle name="style1415001840015" xfId="82"/>
    <cellStyle name="style1415001840078" xfId="83"/>
    <cellStyle name="style1415001840125" xfId="84"/>
    <cellStyle name="style1415001840156" xfId="85"/>
    <cellStyle name="style1415001840203" xfId="86"/>
    <cellStyle name="style1415001840265" xfId="87"/>
    <cellStyle name="style1415001840312" xfId="88"/>
    <cellStyle name="style1415001840375" xfId="89"/>
    <cellStyle name="style1415001840437" xfId="90"/>
    <cellStyle name="style1415001840468" xfId="91"/>
    <cellStyle name="style1415001840484" xfId="92"/>
    <cellStyle name="style1415001840593" xfId="93"/>
    <cellStyle name="style1415001840625" xfId="94"/>
    <cellStyle name="style1415001840671" xfId="95"/>
    <cellStyle name="style1415001840718" xfId="96"/>
    <cellStyle name="style1415001840781" xfId="97"/>
    <cellStyle name="style1415001840828" xfId="98"/>
    <cellStyle name="style1415001840843" xfId="99"/>
    <cellStyle name="style1415001840875" xfId="100"/>
    <cellStyle name="style1415001840921" xfId="101"/>
    <cellStyle name="style1415001840937" xfId="102"/>
    <cellStyle name="style1415001841000" xfId="103"/>
    <cellStyle name="style1415001841031" xfId="104"/>
    <cellStyle name="style1415001841062" xfId="105"/>
    <cellStyle name="style1415001841078" xfId="106"/>
    <cellStyle name="style1415001841109" xfId="107"/>
    <cellStyle name="style1415001841140" xfId="108"/>
    <cellStyle name="style1415001841421" xfId="109"/>
    <cellStyle name="style1415001841562" xfId="110"/>
    <cellStyle name="style1415001841593" xfId="111"/>
    <cellStyle name="style1418116649578" xfId="112"/>
    <cellStyle name="style1418116650000" xfId="113"/>
    <cellStyle name="style1418116650062" xfId="114"/>
    <cellStyle name="style1418116650140" xfId="115"/>
    <cellStyle name="style1418116650187" xfId="116"/>
    <cellStyle name="style1418116650234" xfId="117"/>
    <cellStyle name="style1418116650312" xfId="118"/>
    <cellStyle name="style1418116650968" xfId="119"/>
    <cellStyle name="style1418116651000" xfId="120"/>
    <cellStyle name="style1418116651031" xfId="121"/>
    <cellStyle name="style1418116651093" xfId="122"/>
    <cellStyle name="style1418116651140" xfId="123"/>
    <cellStyle name="style1418116651203" xfId="124"/>
    <cellStyle name="style1418116651234" xfId="125"/>
    <cellStyle name="style1418116651265" xfId="126"/>
    <cellStyle name="style1418116651296" xfId="127"/>
    <cellStyle name="style1418116651328" xfId="128"/>
    <cellStyle name="style1418116651343" xfId="129"/>
    <cellStyle name="Title" xfId="169"/>
    <cellStyle name="Total" xfId="170"/>
    <cellStyle name="Warning Text" xfId="171"/>
    <cellStyle name="쉼표 [0]" xfId="1" builtinId="6"/>
    <cellStyle name="쉼표 [0] 2" xfId="174"/>
    <cellStyle name="쉼표 [0] 3" xfId="185"/>
    <cellStyle name="쉼표 [0] 4" xfId="186"/>
    <cellStyle name="쉼표 [0] 4 2" xfId="187"/>
    <cellStyle name="쉼표 [0] 4 3" xfId="188"/>
    <cellStyle name="쉼표 [0] 4 4" xfId="189"/>
    <cellStyle name="스타일 1" xfId="190"/>
    <cellStyle name="지정되지 않음" xfId="191"/>
    <cellStyle name="콤마 [0]_~MF363C" xfId="192"/>
    <cellStyle name="콤마_1" xfId="193"/>
    <cellStyle name="표준" xfId="0" builtinId="0"/>
    <cellStyle name="표준 2" xfId="3"/>
    <cellStyle name="표준 2 2" xfId="194"/>
    <cellStyle name="표준 2 3" xfId="195"/>
    <cellStyle name="표준 2 4" xfId="196"/>
    <cellStyle name="표준 3" xfId="4"/>
    <cellStyle name="표준 4" xfId="172"/>
    <cellStyle name="표준 5" xfId="173"/>
    <cellStyle name="표준_2012" xfId="2"/>
    <cellStyle name="표준_2013" xfId="5"/>
    <cellStyle name="표준_Sheet1" xfId="130"/>
  </cellStyles>
  <dxfs count="2"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1</xdr:row>
      <xdr:rowOff>161926</xdr:rowOff>
    </xdr:from>
    <xdr:to>
      <xdr:col>7</xdr:col>
      <xdr:colOff>171450</xdr:colOff>
      <xdr:row>5</xdr:row>
      <xdr:rowOff>123825</xdr:rowOff>
    </xdr:to>
    <xdr:sp macro="" textlink="">
      <xdr:nvSpPr>
        <xdr:cNvPr id="2" name="직사각형 1"/>
        <xdr:cNvSpPr/>
      </xdr:nvSpPr>
      <xdr:spPr>
        <a:xfrm>
          <a:off x="76199" y="561976"/>
          <a:ext cx="6734176" cy="95249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en-US" altLang="ko-KR" sz="1100" b="1" i="0">
              <a:solidFill>
                <a:srgbClr val="0000FF"/>
              </a:solidFill>
              <a:latin typeface="바탕체" pitchFamily="17" charset="-127"/>
              <a:ea typeface="바탕체" pitchFamily="17" charset="-127"/>
            </a:rPr>
            <a:t>&lt;12/23 </a:t>
          </a:r>
          <a:r>
            <a:rPr lang="ko-KR" altLang="en-US" sz="1100" b="1" i="0">
              <a:solidFill>
                <a:srgbClr val="0000FF"/>
              </a:solidFill>
              <a:latin typeface="바탕체" pitchFamily="17" charset="-127"/>
              <a:ea typeface="바탕체" pitchFamily="17" charset="-127"/>
            </a:rPr>
            <a:t>토론회 대비 창구종합 목표배정안 추가 검토내용</a:t>
          </a:r>
          <a:r>
            <a:rPr lang="en-US" altLang="ko-KR" sz="1100" b="1" i="0">
              <a:solidFill>
                <a:srgbClr val="0000FF"/>
              </a:solidFill>
              <a:latin typeface="바탕체" pitchFamily="17" charset="-127"/>
              <a:ea typeface="바탕체" pitchFamily="17" charset="-127"/>
            </a:rPr>
            <a:t>&gt;</a:t>
          </a:r>
        </a:p>
        <a:p>
          <a:pPr algn="l"/>
          <a:r>
            <a:rPr lang="en-US" altLang="ko-KR" sz="1100" i="0">
              <a:latin typeface="바탕체" pitchFamily="17" charset="-127"/>
              <a:ea typeface="바탕체" pitchFamily="17" charset="-127"/>
            </a:rPr>
            <a:t>-</a:t>
          </a:r>
          <a:r>
            <a:rPr lang="en-US" altLang="ko-KR" sz="1100" i="0" baseline="0">
              <a:latin typeface="바탕체" pitchFamily="17" charset="-127"/>
              <a:ea typeface="바탕체" pitchFamily="17" charset="-127"/>
            </a:rPr>
            <a:t> </a:t>
          </a:r>
          <a:r>
            <a:rPr lang="ko-KR" altLang="en-US" sz="1100" i="0">
              <a:latin typeface="바탕체" pitchFamily="17" charset="-127"/>
              <a:ea typeface="바탕체" pitchFamily="17" charset="-127"/>
            </a:rPr>
            <a:t>총괄국 </a:t>
          </a:r>
          <a:r>
            <a:rPr lang="en-US" altLang="ko-KR" sz="1100" i="0">
              <a:solidFill>
                <a:srgbClr val="FF0000"/>
              </a:solidFill>
              <a:latin typeface="바탕체" pitchFamily="17" charset="-127"/>
              <a:ea typeface="바탕체" pitchFamily="17" charset="-127"/>
            </a:rPr>
            <a:t>vs</a:t>
          </a:r>
          <a:r>
            <a:rPr lang="en-US" altLang="ko-KR" sz="1100" i="0" baseline="0">
              <a:latin typeface="바탕체" pitchFamily="17" charset="-127"/>
              <a:ea typeface="바탕체" pitchFamily="17" charset="-127"/>
            </a:rPr>
            <a:t> </a:t>
          </a:r>
          <a:r>
            <a:rPr lang="ko-KR" altLang="en-US" sz="1100" i="0" baseline="0">
              <a:latin typeface="바탕체" pitchFamily="17" charset="-127"/>
              <a:ea typeface="바탕체" pitchFamily="17" charset="-127"/>
            </a:rPr>
            <a:t>소속국  표본비율  반영</a:t>
          </a:r>
          <a:endParaRPr lang="en-US" altLang="ko-KR" sz="1100" i="0" baseline="0">
            <a:latin typeface="바탕체" pitchFamily="17" charset="-127"/>
            <a:ea typeface="바탕체" pitchFamily="17" charset="-127"/>
          </a:endParaRPr>
        </a:p>
        <a:p>
          <a:pPr algn="l"/>
          <a:r>
            <a:rPr lang="en-US" altLang="ko-KR" sz="1100" i="0" baseline="0">
              <a:latin typeface="바탕체" pitchFamily="17" charset="-127"/>
              <a:ea typeface="바탕체" pitchFamily="17" charset="-127"/>
            </a:rPr>
            <a:t>- </a:t>
          </a:r>
          <a:r>
            <a:rPr lang="ko-KR" altLang="en-US" sz="1100" i="0">
              <a:latin typeface="바탕체" pitchFamily="17" charset="-127"/>
              <a:ea typeface="바탕체" pitchFamily="17" charset="-127"/>
            </a:rPr>
            <a:t>산출성적을 을 기준으로 </a:t>
          </a:r>
          <a:r>
            <a:rPr lang="en-US" altLang="ko-KR" sz="1100" i="0">
              <a:latin typeface="바탕체" pitchFamily="17" charset="-127"/>
              <a:ea typeface="바탕체" pitchFamily="17" charset="-127"/>
            </a:rPr>
            <a:t>4</a:t>
          </a:r>
          <a:r>
            <a:rPr lang="ko-KR" altLang="en-US" sz="1100" i="0">
              <a:latin typeface="바탕체" pitchFamily="17" charset="-127"/>
              <a:ea typeface="바탕체" pitchFamily="17" charset="-127"/>
            </a:rPr>
            <a:t>개 그룹을 나누고</a:t>
          </a:r>
          <a:r>
            <a:rPr lang="en-US" altLang="ko-KR" sz="1100" i="0">
              <a:latin typeface="바탕체" pitchFamily="17" charset="-127"/>
              <a:ea typeface="바탕체" pitchFamily="17" charset="-127"/>
            </a:rPr>
            <a:t>, </a:t>
          </a:r>
          <a:r>
            <a:rPr lang="ko-KR" altLang="en-US" sz="1100" i="0">
              <a:latin typeface="바탕체" pitchFamily="17" charset="-127"/>
              <a:ea typeface="바탕체" pitchFamily="17" charset="-127"/>
            </a:rPr>
            <a:t>그룹 평균성적 반영</a:t>
          </a:r>
          <a:endParaRPr lang="en-US" altLang="ko-KR" sz="1100" i="0">
            <a:latin typeface="바탕체" pitchFamily="17" charset="-127"/>
            <a:ea typeface="바탕체" pitchFamily="17" charset="-127"/>
          </a:endParaRPr>
        </a:p>
        <a:p>
          <a:pPr algn="l"/>
          <a:r>
            <a:rPr lang="ko-KR" altLang="en-US" sz="1100" b="1" i="0">
              <a:latin typeface="바탕체" pitchFamily="17" charset="-127"/>
              <a:ea typeface="바탕체" pitchFamily="17" charset="-127"/>
            </a:rPr>
            <a:t>  당초</a:t>
          </a:r>
          <a:r>
            <a:rPr lang="en-US" altLang="ko-KR" sz="1100" b="1" i="0">
              <a:latin typeface="바탕체" pitchFamily="17" charset="-127"/>
              <a:ea typeface="바탕체" pitchFamily="17" charset="-127"/>
            </a:rPr>
            <a:t>(12.23.)</a:t>
          </a:r>
          <a:r>
            <a:rPr lang="ko-KR" altLang="en-US" sz="1100" b="1" i="0" baseline="0">
              <a:latin typeface="바탕체" pitchFamily="17" charset="-127"/>
              <a:ea typeface="바탕체" pitchFamily="17" charset="-127"/>
            </a:rPr>
            <a:t> 검토안 보다 대부분의 관서가 목표 하향 조정되었으며</a:t>
          </a:r>
          <a:r>
            <a:rPr lang="en-US" altLang="ko-KR" sz="1100" b="1" i="0" baseline="0">
              <a:latin typeface="바탕체" pitchFamily="17" charset="-127"/>
              <a:ea typeface="바탕체" pitchFamily="17" charset="-127"/>
            </a:rPr>
            <a:t>, </a:t>
          </a:r>
        </a:p>
        <a:p>
          <a:pPr algn="l"/>
          <a:r>
            <a:rPr lang="ko-KR" altLang="en-US" sz="1100" b="1" i="0" baseline="0">
              <a:latin typeface="바탕체" pitchFamily="17" charset="-127"/>
              <a:ea typeface="바탕체" pitchFamily="17" charset="-127"/>
            </a:rPr>
            <a:t>  단순 가중실적을 고려할 때보다 표준편차가 줄어들어 총괄국간 편차를 최소화 함</a:t>
          </a:r>
          <a:endParaRPr lang="en-US" altLang="ko-KR" sz="1100" b="1" i="0" baseline="0"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&#47785;&#54364;&#48176;&#51221;&#51088;&#47308;)%20&#50672;&#46020;&#48324;%20KPCSI%20&#44208;&#44284;(2012-2015)%20-%20v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52285;&#44396;(2015&#45380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52285;&#44396;(2014&#45380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52285;&#44396;(2013&#45380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52509;&#44292;&#44397;&#48324;%20&#48176;&#45804;&#48512;&#54616;&#47049;(2015.4.13~12&#50900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6 목표배정안"/>
      <sheetName val="(창구)목표"/>
      <sheetName val="(집배)목표"/>
      <sheetName val="연도별"/>
      <sheetName val="2015"/>
      <sheetName val="2014"/>
      <sheetName val="2013"/>
      <sheetName val="2012"/>
    </sheetNames>
    <sheetDataSet>
      <sheetData sheetId="0">
        <row r="5">
          <cell r="J5">
            <v>94.504999999999995</v>
          </cell>
        </row>
        <row r="6">
          <cell r="J6">
            <v>94.439375000000013</v>
          </cell>
        </row>
        <row r="7">
          <cell r="J7">
            <v>94.393749999999997</v>
          </cell>
        </row>
        <row r="8">
          <cell r="J8">
            <v>94.491052631578953</v>
          </cell>
        </row>
        <row r="9">
          <cell r="J9">
            <v>94.343333333333334</v>
          </cell>
        </row>
        <row r="10">
          <cell r="J10">
            <v>94.719583333333333</v>
          </cell>
        </row>
        <row r="11">
          <cell r="J11">
            <v>94.789999999999992</v>
          </cell>
        </row>
        <row r="12">
          <cell r="J12">
            <v>95.533999999999992</v>
          </cell>
        </row>
        <row r="13">
          <cell r="J13">
            <v>95.047894736842096</v>
          </cell>
        </row>
        <row r="14">
          <cell r="J14">
            <v>95.589565217391311</v>
          </cell>
        </row>
        <row r="15">
          <cell r="J15">
            <v>94.734761904761911</v>
          </cell>
        </row>
        <row r="16">
          <cell r="J16">
            <v>94.567083333333329</v>
          </cell>
        </row>
        <row r="17">
          <cell r="J17">
            <v>95.530714285714282</v>
          </cell>
        </row>
        <row r="18">
          <cell r="J18">
            <v>95.203666666666663</v>
          </cell>
        </row>
        <row r="19">
          <cell r="J19">
            <v>94.993214285714288</v>
          </cell>
        </row>
        <row r="20">
          <cell r="J20">
            <v>95.533000000000001</v>
          </cell>
        </row>
        <row r="21">
          <cell r="J21">
            <v>96.241666666666674</v>
          </cell>
        </row>
        <row r="22">
          <cell r="J22">
            <v>95.835000000000008</v>
          </cell>
        </row>
        <row r="23">
          <cell r="J23">
            <v>96.195833333333326</v>
          </cell>
        </row>
        <row r="24">
          <cell r="J24">
            <v>96.170333333333332</v>
          </cell>
        </row>
        <row r="25">
          <cell r="J25">
            <v>95.332333333333338</v>
          </cell>
        </row>
        <row r="26">
          <cell r="J26">
            <v>96.27</v>
          </cell>
        </row>
        <row r="27">
          <cell r="J27">
            <v>96.170882352941163</v>
          </cell>
        </row>
        <row r="28">
          <cell r="J28">
            <v>95.510666666666665</v>
          </cell>
        </row>
        <row r="29">
          <cell r="J29">
            <v>96.114999999999995</v>
          </cell>
        </row>
        <row r="30">
          <cell r="J30">
            <v>95.956428571428575</v>
          </cell>
        </row>
        <row r="31">
          <cell r="J31">
            <v>96.221923076923076</v>
          </cell>
        </row>
        <row r="32">
          <cell r="J32">
            <v>95.745000000000005</v>
          </cell>
        </row>
        <row r="33">
          <cell r="J33">
            <v>96.203749999999985</v>
          </cell>
        </row>
        <row r="34">
          <cell r="J34">
            <v>95.852777777777774</v>
          </cell>
        </row>
        <row r="35">
          <cell r="J35">
            <v>96.042857142857144</v>
          </cell>
        </row>
        <row r="36">
          <cell r="J36">
            <v>96.240555555555545</v>
          </cell>
        </row>
      </sheetData>
      <sheetData sheetId="1">
        <row r="3">
          <cell r="A3" t="str">
            <v>구분</v>
          </cell>
          <cell r="B3" t="str">
            <v>관서급별/행정구역별 상세내역</v>
          </cell>
          <cell r="K3" t="str">
            <v>표본수</v>
          </cell>
          <cell r="L3" t="str">
            <v>표본점유</v>
          </cell>
          <cell r="M3" t="str">
            <v>2015년</v>
          </cell>
          <cell r="O3" t="str">
            <v xml:space="preserve">2016년 </v>
          </cell>
        </row>
        <row r="4">
          <cell r="B4" t="str">
            <v>총괄국</v>
          </cell>
          <cell r="D4" t="str">
            <v>일반국</v>
          </cell>
          <cell r="F4" t="str">
            <v>별정국</v>
          </cell>
          <cell r="H4" t="str">
            <v>취급국</v>
          </cell>
          <cell r="J4" t="str">
            <v>합계</v>
          </cell>
          <cell r="M4" t="str">
            <v>목표</v>
          </cell>
          <cell r="N4" t="str">
            <v>실적</v>
          </cell>
        </row>
        <row r="5">
          <cell r="B5" t="str">
            <v>동</v>
          </cell>
          <cell r="C5" t="str">
            <v>읍</v>
          </cell>
          <cell r="D5" t="str">
            <v>동</v>
          </cell>
          <cell r="E5" t="str">
            <v>읍/면</v>
          </cell>
          <cell r="F5" t="str">
            <v>동</v>
          </cell>
          <cell r="G5" t="str">
            <v>읍/면</v>
          </cell>
          <cell r="H5" t="str">
            <v>동</v>
          </cell>
          <cell r="I5" t="str">
            <v>읍/면</v>
          </cell>
        </row>
        <row r="6">
          <cell r="A6" t="str">
            <v>KPCSI
(평균)</v>
          </cell>
          <cell r="B6">
            <v>94.18</v>
          </cell>
          <cell r="C6">
            <v>95.57</v>
          </cell>
          <cell r="D6">
            <v>93.76</v>
          </cell>
          <cell r="E6">
            <v>95.19</v>
          </cell>
          <cell r="F6">
            <v>94.78</v>
          </cell>
          <cell r="G6">
            <v>96.61</v>
          </cell>
          <cell r="H6">
            <v>94.52</v>
          </cell>
          <cell r="I6">
            <v>95.21</v>
          </cell>
          <cell r="J6">
            <v>478</v>
          </cell>
          <cell r="K6">
            <v>4916</v>
          </cell>
          <cell r="L6">
            <v>1</v>
          </cell>
          <cell r="M6">
            <v>94.14</v>
          </cell>
          <cell r="N6">
            <v>95.03</v>
          </cell>
          <cell r="O6">
            <v>95.034605370219708</v>
          </cell>
        </row>
        <row r="7">
          <cell r="A7" t="str">
            <v>관서수</v>
          </cell>
          <cell r="B7">
            <v>18</v>
          </cell>
          <cell r="C7">
            <v>14</v>
          </cell>
          <cell r="D7">
            <v>95</v>
          </cell>
          <cell r="E7">
            <v>113</v>
          </cell>
          <cell r="F7">
            <v>6</v>
          </cell>
          <cell r="G7">
            <v>129</v>
          </cell>
          <cell r="H7">
            <v>76</v>
          </cell>
          <cell r="I7">
            <v>27</v>
          </cell>
          <cell r="J7">
            <v>478</v>
          </cell>
          <cell r="K7">
            <v>4916</v>
          </cell>
          <cell r="L7">
            <v>0.99999999999999989</v>
          </cell>
          <cell r="O7">
            <v>95.289437658717901</v>
          </cell>
        </row>
        <row r="8">
          <cell r="A8" t="str">
            <v>대전</v>
          </cell>
          <cell r="B8">
            <v>1</v>
          </cell>
          <cell r="C8">
            <v>0</v>
          </cell>
          <cell r="D8">
            <v>7</v>
          </cell>
          <cell r="E8">
            <v>0</v>
          </cell>
          <cell r="F8">
            <v>1</v>
          </cell>
          <cell r="G8">
            <v>0</v>
          </cell>
          <cell r="H8">
            <v>11</v>
          </cell>
          <cell r="I8">
            <v>0</v>
          </cell>
          <cell r="J8">
            <v>20</v>
          </cell>
          <cell r="K8">
            <v>174</v>
          </cell>
          <cell r="L8">
            <v>3.5394629780309196E-2</v>
          </cell>
          <cell r="M8">
            <v>93.311679207099658</v>
          </cell>
          <cell r="N8">
            <v>94.819162205583311</v>
          </cell>
          <cell r="O8">
            <v>94.25</v>
          </cell>
        </row>
        <row r="9">
          <cell r="A9" t="str">
            <v>서대전</v>
          </cell>
          <cell r="B9">
            <v>1</v>
          </cell>
          <cell r="C9">
            <v>0</v>
          </cell>
          <cell r="D9">
            <v>8</v>
          </cell>
          <cell r="E9">
            <v>0</v>
          </cell>
          <cell r="F9">
            <v>0</v>
          </cell>
          <cell r="G9">
            <v>0</v>
          </cell>
          <cell r="H9">
            <v>7</v>
          </cell>
          <cell r="I9">
            <v>0</v>
          </cell>
          <cell r="J9">
            <v>16</v>
          </cell>
          <cell r="K9">
            <v>158</v>
          </cell>
          <cell r="L9">
            <v>3.2139951179820991E-2</v>
          </cell>
          <cell r="M9">
            <v>92.858965354330678</v>
          </cell>
          <cell r="N9">
            <v>93.616139240506314</v>
          </cell>
          <cell r="O9">
            <v>94.118750000000006</v>
          </cell>
        </row>
        <row r="10">
          <cell r="A10" t="str">
            <v>대전유성</v>
          </cell>
          <cell r="B10">
            <v>1</v>
          </cell>
          <cell r="C10">
            <v>0</v>
          </cell>
          <cell r="D10">
            <v>8</v>
          </cell>
          <cell r="E10">
            <v>0</v>
          </cell>
          <cell r="F10">
            <v>3</v>
          </cell>
          <cell r="G10">
            <v>0</v>
          </cell>
          <cell r="H10">
            <v>4</v>
          </cell>
          <cell r="I10">
            <v>0</v>
          </cell>
          <cell r="J10">
            <v>16</v>
          </cell>
          <cell r="K10">
            <v>170</v>
          </cell>
          <cell r="L10">
            <v>3.4580960130187147E-2</v>
          </cell>
          <cell r="M10">
            <v>93.534345876808629</v>
          </cell>
          <cell r="N10">
            <v>93.608385093167669</v>
          </cell>
          <cell r="O10">
            <v>94.16749999999999</v>
          </cell>
        </row>
        <row r="11">
          <cell r="A11" t="str">
            <v>대전대덕</v>
          </cell>
          <cell r="B11">
            <v>1</v>
          </cell>
          <cell r="C11">
            <v>0</v>
          </cell>
          <cell r="D11">
            <v>7</v>
          </cell>
          <cell r="E11">
            <v>0</v>
          </cell>
          <cell r="F11">
            <v>0</v>
          </cell>
          <cell r="G11">
            <v>0</v>
          </cell>
          <cell r="H11">
            <v>11</v>
          </cell>
          <cell r="I11">
            <v>0</v>
          </cell>
          <cell r="J11">
            <v>19</v>
          </cell>
          <cell r="K11">
            <v>166</v>
          </cell>
          <cell r="L11">
            <v>3.376729048006509E-2</v>
          </cell>
          <cell r="M11">
            <v>92.778211667058173</v>
          </cell>
          <cell r="N11">
            <v>94.527127916331438</v>
          </cell>
          <cell r="O11">
            <v>94.2221052631579</v>
          </cell>
        </row>
        <row r="12">
          <cell r="A12" t="str">
            <v>대전둔산</v>
          </cell>
          <cell r="B12">
            <v>1</v>
          </cell>
          <cell r="C12">
            <v>0</v>
          </cell>
          <cell r="D12">
            <v>16</v>
          </cell>
          <cell r="E12">
            <v>0</v>
          </cell>
          <cell r="F12">
            <v>1</v>
          </cell>
          <cell r="G12">
            <v>0</v>
          </cell>
          <cell r="H12">
            <v>9</v>
          </cell>
          <cell r="I12">
            <v>0</v>
          </cell>
          <cell r="J12">
            <v>27</v>
          </cell>
          <cell r="K12">
            <v>238</v>
          </cell>
          <cell r="L12">
            <v>4.8413344182262001E-2</v>
          </cell>
          <cell r="M12">
            <v>92.076079277817001</v>
          </cell>
          <cell r="N12">
            <v>93.620039249083604</v>
          </cell>
          <cell r="O12">
            <v>94.066666666666677</v>
          </cell>
        </row>
        <row r="13">
          <cell r="A13" t="str">
            <v>천안</v>
          </cell>
          <cell r="B13">
            <v>1</v>
          </cell>
          <cell r="C13">
            <v>0</v>
          </cell>
          <cell r="D13">
            <v>3</v>
          </cell>
          <cell r="E13">
            <v>2</v>
          </cell>
          <cell r="F13">
            <v>0</v>
          </cell>
          <cell r="G13">
            <v>2</v>
          </cell>
          <cell r="H13">
            <v>3</v>
          </cell>
          <cell r="I13">
            <v>1</v>
          </cell>
          <cell r="J13">
            <v>12</v>
          </cell>
          <cell r="K13">
            <v>138</v>
          </cell>
          <cell r="L13">
            <v>2.8071602929210741E-2</v>
          </cell>
          <cell r="M13">
            <v>92.531359623709847</v>
          </cell>
          <cell r="N13">
            <v>93.871051611653016</v>
          </cell>
          <cell r="O13">
            <v>94.819166666666675</v>
          </cell>
        </row>
        <row r="14">
          <cell r="A14" t="str">
            <v>동천안</v>
          </cell>
          <cell r="B14">
            <v>1</v>
          </cell>
          <cell r="C14">
            <v>0</v>
          </cell>
          <cell r="D14">
            <v>5</v>
          </cell>
          <cell r="E14">
            <v>1</v>
          </cell>
          <cell r="F14">
            <v>0</v>
          </cell>
          <cell r="G14">
            <v>5</v>
          </cell>
          <cell r="H14">
            <v>5</v>
          </cell>
          <cell r="I14">
            <v>2</v>
          </cell>
          <cell r="J14">
            <v>19</v>
          </cell>
          <cell r="K14">
            <v>182</v>
          </cell>
          <cell r="L14">
            <v>3.7021969080553295E-2</v>
          </cell>
          <cell r="M14">
            <v>93.127835276033281</v>
          </cell>
          <cell r="N14">
            <v>94.777070515449836</v>
          </cell>
          <cell r="O14">
            <v>94.96</v>
          </cell>
        </row>
        <row r="15">
          <cell r="A15" t="str">
            <v>청주</v>
          </cell>
          <cell r="B15">
            <v>1</v>
          </cell>
          <cell r="C15">
            <v>0</v>
          </cell>
          <cell r="D15">
            <v>7</v>
          </cell>
          <cell r="E15">
            <v>4</v>
          </cell>
          <cell r="F15">
            <v>0</v>
          </cell>
          <cell r="G15">
            <v>3</v>
          </cell>
          <cell r="H15">
            <v>5</v>
          </cell>
          <cell r="I15">
            <v>1</v>
          </cell>
          <cell r="J15">
            <v>21</v>
          </cell>
          <cell r="K15">
            <v>202</v>
          </cell>
          <cell r="L15">
            <v>4.1090317331163549E-2</v>
          </cell>
          <cell r="M15">
            <v>93.947698359771579</v>
          </cell>
          <cell r="N15">
            <v>94.161830936573921</v>
          </cell>
          <cell r="O15">
            <v>94.709523809523802</v>
          </cell>
        </row>
        <row r="16">
          <cell r="A16" t="str">
            <v>서청주</v>
          </cell>
          <cell r="B16">
            <v>1</v>
          </cell>
          <cell r="C16">
            <v>0</v>
          </cell>
          <cell r="D16">
            <v>11</v>
          </cell>
          <cell r="E16">
            <v>2</v>
          </cell>
          <cell r="F16">
            <v>1</v>
          </cell>
          <cell r="G16">
            <v>3</v>
          </cell>
          <cell r="H16">
            <v>5</v>
          </cell>
          <cell r="I16">
            <v>1</v>
          </cell>
          <cell r="J16">
            <v>24</v>
          </cell>
          <cell r="K16">
            <v>226</v>
          </cell>
          <cell r="L16">
            <v>4.5972335231895853E-2</v>
          </cell>
          <cell r="M16">
            <v>93.366279142045755</v>
          </cell>
          <cell r="N16">
            <v>93.899840793602138</v>
          </cell>
          <cell r="O16">
            <v>94.514166666666668</v>
          </cell>
        </row>
        <row r="17">
          <cell r="A17" t="str">
            <v>공주</v>
          </cell>
          <cell r="B17">
            <v>1</v>
          </cell>
          <cell r="C17">
            <v>0</v>
          </cell>
          <cell r="D17">
            <v>1</v>
          </cell>
          <cell r="E17">
            <v>6</v>
          </cell>
          <cell r="F17">
            <v>0</v>
          </cell>
          <cell r="G17">
            <v>4</v>
          </cell>
          <cell r="H17">
            <v>2</v>
          </cell>
          <cell r="I17">
            <v>1</v>
          </cell>
          <cell r="J17">
            <v>15</v>
          </cell>
          <cell r="K17">
            <v>166</v>
          </cell>
          <cell r="L17">
            <v>3.376729048006509E-2</v>
          </cell>
          <cell r="M17">
            <v>94.07</v>
          </cell>
          <cell r="N17">
            <v>95.063278063655389</v>
          </cell>
          <cell r="O17">
            <v>95.317999999999998</v>
          </cell>
        </row>
        <row r="18">
          <cell r="A18" t="str">
            <v>아산</v>
          </cell>
          <cell r="B18">
            <v>1</v>
          </cell>
          <cell r="C18">
            <v>0</v>
          </cell>
          <cell r="D18">
            <v>3</v>
          </cell>
          <cell r="E18">
            <v>4</v>
          </cell>
          <cell r="F18">
            <v>0</v>
          </cell>
          <cell r="G18">
            <v>8</v>
          </cell>
          <cell r="H18">
            <v>1</v>
          </cell>
          <cell r="I18">
            <v>2</v>
          </cell>
          <cell r="J18">
            <v>19</v>
          </cell>
          <cell r="K18">
            <v>198</v>
          </cell>
          <cell r="L18">
            <v>4.02766476810415E-2</v>
          </cell>
          <cell r="M18">
            <v>93.54505468250133</v>
          </cell>
          <cell r="N18">
            <v>94.860940375010955</v>
          </cell>
          <cell r="O18">
            <v>95.475789473684202</v>
          </cell>
        </row>
        <row r="19">
          <cell r="A19" t="str">
            <v>논산</v>
          </cell>
          <cell r="B19">
            <v>1</v>
          </cell>
          <cell r="C19">
            <v>0</v>
          </cell>
          <cell r="D19">
            <v>2</v>
          </cell>
          <cell r="E19">
            <v>8</v>
          </cell>
          <cell r="F19">
            <v>0</v>
          </cell>
          <cell r="G19">
            <v>8</v>
          </cell>
          <cell r="H19">
            <v>3</v>
          </cell>
          <cell r="I19">
            <v>1</v>
          </cell>
          <cell r="J19">
            <v>23</v>
          </cell>
          <cell r="K19">
            <v>226</v>
          </cell>
          <cell r="L19">
            <v>4.5972335231895853E-2</v>
          </cell>
          <cell r="M19">
            <v>94.058535432791032</v>
          </cell>
          <cell r="N19">
            <v>94.687888888888892</v>
          </cell>
          <cell r="O19">
            <v>95.429130434782607</v>
          </cell>
        </row>
        <row r="20">
          <cell r="A20" t="str">
            <v>충주</v>
          </cell>
          <cell r="B20">
            <v>1</v>
          </cell>
          <cell r="C20">
            <v>0</v>
          </cell>
          <cell r="D20">
            <v>5</v>
          </cell>
          <cell r="E20">
            <v>5</v>
          </cell>
          <cell r="F20">
            <v>0</v>
          </cell>
          <cell r="G20">
            <v>8</v>
          </cell>
          <cell r="H20">
            <v>1</v>
          </cell>
          <cell r="I20">
            <v>1</v>
          </cell>
          <cell r="J20">
            <v>21</v>
          </cell>
          <cell r="K20">
            <v>218</v>
          </cell>
          <cell r="L20">
            <v>4.4344995931651747E-2</v>
          </cell>
          <cell r="M20">
            <v>94.074063592198399</v>
          </cell>
          <cell r="N20">
            <v>94.589680525504534</v>
          </cell>
          <cell r="O20">
            <v>95.311428571428564</v>
          </cell>
        </row>
        <row r="21">
          <cell r="A21" t="str">
            <v>제천</v>
          </cell>
          <cell r="B21">
            <v>1</v>
          </cell>
          <cell r="C21">
            <v>0</v>
          </cell>
          <cell r="D21">
            <v>4</v>
          </cell>
          <cell r="E21">
            <v>5</v>
          </cell>
          <cell r="F21">
            <v>0</v>
          </cell>
          <cell r="G21">
            <v>1</v>
          </cell>
          <cell r="H21">
            <v>4</v>
          </cell>
          <cell r="I21">
            <v>0</v>
          </cell>
          <cell r="J21">
            <v>15</v>
          </cell>
          <cell r="K21">
            <v>162</v>
          </cell>
          <cell r="L21">
            <v>3.2953620829943041E-2</v>
          </cell>
          <cell r="M21">
            <v>94.074063592198399</v>
          </cell>
          <cell r="N21">
            <v>95.066668367952261</v>
          </cell>
          <cell r="O21">
            <v>94.657333333333327</v>
          </cell>
        </row>
        <row r="22">
          <cell r="A22" t="str">
            <v>세종</v>
          </cell>
          <cell r="B22">
            <v>1</v>
          </cell>
          <cell r="C22">
            <v>0</v>
          </cell>
          <cell r="D22">
            <v>4</v>
          </cell>
          <cell r="E22">
            <v>4</v>
          </cell>
          <cell r="F22">
            <v>0</v>
          </cell>
          <cell r="G22">
            <v>3</v>
          </cell>
          <cell r="H22">
            <v>0</v>
          </cell>
          <cell r="I22">
            <v>2</v>
          </cell>
          <cell r="J22">
            <v>14</v>
          </cell>
          <cell r="K22">
            <v>162</v>
          </cell>
          <cell r="L22">
            <v>3.2953620829943041E-2</v>
          </cell>
          <cell r="M22">
            <v>94.036741287973499</v>
          </cell>
          <cell r="N22">
            <v>94.394281045751626</v>
          </cell>
          <cell r="O22">
            <v>95.016428571428577</v>
          </cell>
        </row>
        <row r="23">
          <cell r="A23" t="str">
            <v>서산</v>
          </cell>
          <cell r="B23">
            <v>1</v>
          </cell>
          <cell r="C23">
            <v>0</v>
          </cell>
          <cell r="D23">
            <v>2</v>
          </cell>
          <cell r="E23">
            <v>5</v>
          </cell>
          <cell r="F23">
            <v>0</v>
          </cell>
          <cell r="G23">
            <v>5</v>
          </cell>
          <cell r="H23">
            <v>2</v>
          </cell>
          <cell r="I23">
            <v>0</v>
          </cell>
          <cell r="J23">
            <v>15</v>
          </cell>
          <cell r="K23">
            <v>170</v>
          </cell>
          <cell r="L23">
            <v>3.4580960130187147E-2</v>
          </cell>
          <cell r="M23">
            <v>94.469224195144022</v>
          </cell>
          <cell r="N23">
            <v>94.725767831501628</v>
          </cell>
          <cell r="O23">
            <v>95.316000000000003</v>
          </cell>
        </row>
        <row r="24">
          <cell r="A24" t="str">
            <v>당진</v>
          </cell>
          <cell r="B24">
            <v>1</v>
          </cell>
          <cell r="C24">
            <v>0</v>
          </cell>
          <cell r="D24">
            <v>0</v>
          </cell>
          <cell r="E24">
            <v>5</v>
          </cell>
          <cell r="F24">
            <v>0</v>
          </cell>
          <cell r="G24">
            <v>6</v>
          </cell>
          <cell r="H24">
            <v>0</v>
          </cell>
          <cell r="I24">
            <v>3</v>
          </cell>
          <cell r="J24">
            <v>15</v>
          </cell>
          <cell r="K24">
            <v>144</v>
          </cell>
          <cell r="L24">
            <v>2.9292107404393815E-2</v>
          </cell>
          <cell r="M24">
            <v>93.413245756062736</v>
          </cell>
          <cell r="N24">
            <v>94.46331400671346</v>
          </cell>
          <cell r="O24">
            <v>95.694666666666677</v>
          </cell>
        </row>
        <row r="25">
          <cell r="A25" t="str">
            <v>보령</v>
          </cell>
          <cell r="B25">
            <v>1</v>
          </cell>
          <cell r="C25">
            <v>0</v>
          </cell>
          <cell r="D25">
            <v>2</v>
          </cell>
          <cell r="E25">
            <v>4</v>
          </cell>
          <cell r="F25">
            <v>0</v>
          </cell>
          <cell r="G25">
            <v>5</v>
          </cell>
          <cell r="H25">
            <v>3</v>
          </cell>
          <cell r="I25">
            <v>0</v>
          </cell>
          <cell r="J25">
            <v>15</v>
          </cell>
          <cell r="K25">
            <v>144</v>
          </cell>
          <cell r="L25">
            <v>2.9292107404393815E-2</v>
          </cell>
          <cell r="M25">
            <v>94.840296371253686</v>
          </cell>
          <cell r="N25">
            <v>96.426774193548383</v>
          </cell>
          <cell r="O25">
            <v>95.271333333333331</v>
          </cell>
        </row>
        <row r="26">
          <cell r="A26" t="str">
            <v>금산</v>
          </cell>
          <cell r="B26">
            <v>0</v>
          </cell>
          <cell r="C26">
            <v>1</v>
          </cell>
          <cell r="D26">
            <v>0</v>
          </cell>
          <cell r="E26">
            <v>2</v>
          </cell>
          <cell r="F26">
            <v>0</v>
          </cell>
          <cell r="G26">
            <v>5</v>
          </cell>
          <cell r="H26">
            <v>0</v>
          </cell>
          <cell r="I26">
            <v>1</v>
          </cell>
          <cell r="J26">
            <v>9</v>
          </cell>
          <cell r="K26">
            <v>104</v>
          </cell>
          <cell r="L26">
            <v>2.115541090317331E-2</v>
          </cell>
          <cell r="M26">
            <v>95.103710238890187</v>
          </cell>
          <cell r="N26">
            <v>95.672241557102353</v>
          </cell>
          <cell r="O26">
            <v>96.023333333333341</v>
          </cell>
        </row>
        <row r="27">
          <cell r="A27" t="str">
            <v>홍성</v>
          </cell>
          <cell r="B27">
            <v>0</v>
          </cell>
          <cell r="C27">
            <v>1</v>
          </cell>
          <cell r="D27">
            <v>0</v>
          </cell>
          <cell r="E27">
            <v>4</v>
          </cell>
          <cell r="F27">
            <v>0</v>
          </cell>
          <cell r="G27">
            <v>6</v>
          </cell>
          <cell r="H27">
            <v>0</v>
          </cell>
          <cell r="I27">
            <v>3</v>
          </cell>
          <cell r="J27">
            <v>14</v>
          </cell>
          <cell r="K27">
            <v>136</v>
          </cell>
          <cell r="L27">
            <v>2.7664768104149716E-2</v>
          </cell>
          <cell r="M27">
            <v>95.142559940341329</v>
          </cell>
          <cell r="N27">
            <v>95.518005621277879</v>
          </cell>
          <cell r="O27">
            <v>95.83</v>
          </cell>
        </row>
        <row r="28">
          <cell r="A28" t="str">
            <v>예산</v>
          </cell>
          <cell r="B28">
            <v>0</v>
          </cell>
          <cell r="C28">
            <v>1</v>
          </cell>
          <cell r="D28">
            <v>0</v>
          </cell>
          <cell r="E28">
            <v>5</v>
          </cell>
          <cell r="F28">
            <v>0</v>
          </cell>
          <cell r="G28">
            <v>6</v>
          </cell>
          <cell r="H28">
            <v>0</v>
          </cell>
          <cell r="I28">
            <v>0</v>
          </cell>
          <cell r="J28">
            <v>12</v>
          </cell>
          <cell r="K28">
            <v>132</v>
          </cell>
          <cell r="L28">
            <v>2.6851098454027666E-2</v>
          </cell>
          <cell r="M28">
            <v>95.713559513887063</v>
          </cell>
          <cell r="N28">
            <v>95.176461375310382</v>
          </cell>
          <cell r="O28">
            <v>95.931666666666658</v>
          </cell>
        </row>
        <row r="29">
          <cell r="A29" t="str">
            <v>서천</v>
          </cell>
          <cell r="B29">
            <v>0</v>
          </cell>
          <cell r="C29">
            <v>1</v>
          </cell>
          <cell r="D29">
            <v>0</v>
          </cell>
          <cell r="E29">
            <v>5</v>
          </cell>
          <cell r="F29">
            <v>0</v>
          </cell>
          <cell r="G29">
            <v>7</v>
          </cell>
          <cell r="H29">
            <v>0</v>
          </cell>
          <cell r="I29">
            <v>2</v>
          </cell>
          <cell r="J29">
            <v>15</v>
          </cell>
          <cell r="K29">
            <v>148</v>
          </cell>
          <cell r="L29">
            <v>3.0105777054515868E-2</v>
          </cell>
          <cell r="M29">
            <v>94.955502887868505</v>
          </cell>
          <cell r="N29">
            <v>95.7071069554747</v>
          </cell>
          <cell r="O29">
            <v>95.88066666666667</v>
          </cell>
        </row>
        <row r="30">
          <cell r="A30" t="str">
            <v>청양</v>
          </cell>
          <cell r="B30">
            <v>0</v>
          </cell>
          <cell r="C30">
            <v>1</v>
          </cell>
          <cell r="D30">
            <v>0</v>
          </cell>
          <cell r="E30">
            <v>3</v>
          </cell>
          <cell r="F30">
            <v>0</v>
          </cell>
          <cell r="G30">
            <v>6</v>
          </cell>
          <cell r="H30">
            <v>0</v>
          </cell>
          <cell r="I30">
            <v>0</v>
          </cell>
          <cell r="J30">
            <v>10</v>
          </cell>
          <cell r="K30">
            <v>116</v>
          </cell>
          <cell r="L30">
            <v>2.3596419853539462E-2</v>
          </cell>
          <cell r="M30">
            <v>95.713559513887063</v>
          </cell>
          <cell r="N30">
            <v>96.961403508771923</v>
          </cell>
          <cell r="O30">
            <v>96.08</v>
          </cell>
        </row>
        <row r="31">
          <cell r="A31" t="str">
            <v>부여</v>
          </cell>
          <cell r="B31">
            <v>0</v>
          </cell>
          <cell r="C31">
            <v>1</v>
          </cell>
          <cell r="D31">
            <v>0</v>
          </cell>
          <cell r="E31">
            <v>7</v>
          </cell>
          <cell r="F31">
            <v>0</v>
          </cell>
          <cell r="G31">
            <v>8</v>
          </cell>
          <cell r="H31">
            <v>0</v>
          </cell>
          <cell r="I31">
            <v>1</v>
          </cell>
          <cell r="J31">
            <v>17</v>
          </cell>
          <cell r="K31">
            <v>168</v>
          </cell>
          <cell r="L31">
            <v>3.4174125305126118E-2</v>
          </cell>
          <cell r="M31">
            <v>95.713559513887063</v>
          </cell>
          <cell r="N31">
            <v>97.115855457227127</v>
          </cell>
          <cell r="O31">
            <v>95.881764705882347</v>
          </cell>
        </row>
        <row r="32">
          <cell r="A32" t="str">
            <v>태안</v>
          </cell>
          <cell r="B32">
            <v>0</v>
          </cell>
          <cell r="C32">
            <v>1</v>
          </cell>
          <cell r="D32">
            <v>0</v>
          </cell>
          <cell r="E32">
            <v>4</v>
          </cell>
          <cell r="F32">
            <v>0</v>
          </cell>
          <cell r="G32">
            <v>3</v>
          </cell>
          <cell r="H32">
            <v>0</v>
          </cell>
          <cell r="I32">
            <v>0</v>
          </cell>
          <cell r="J32">
            <v>8</v>
          </cell>
          <cell r="K32">
            <v>100</v>
          </cell>
          <cell r="L32">
            <v>2.034174125305126E-2</v>
          </cell>
          <cell r="M32">
            <v>95.605273693387431</v>
          </cell>
          <cell r="N32">
            <v>95.548278787597042</v>
          </cell>
          <cell r="O32">
            <v>95.77</v>
          </cell>
        </row>
        <row r="33">
          <cell r="A33" t="str">
            <v>단양</v>
          </cell>
          <cell r="B33">
            <v>0</v>
          </cell>
          <cell r="C33">
            <v>1</v>
          </cell>
          <cell r="D33">
            <v>0</v>
          </cell>
          <cell r="E33">
            <v>3</v>
          </cell>
          <cell r="F33">
            <v>0</v>
          </cell>
          <cell r="G33">
            <v>1</v>
          </cell>
          <cell r="H33">
            <v>0</v>
          </cell>
          <cell r="I33">
            <v>2</v>
          </cell>
          <cell r="J33">
            <v>7</v>
          </cell>
          <cell r="K33">
            <v>84</v>
          </cell>
          <cell r="L33">
            <v>1.7087062652563059E-2</v>
          </cell>
          <cell r="M33">
            <v>95.057682782449334</v>
          </cell>
          <cell r="N33">
            <v>96.831818181818178</v>
          </cell>
          <cell r="O33">
            <v>95.452857142857141</v>
          </cell>
        </row>
        <row r="34">
          <cell r="A34" t="str">
            <v>괴산</v>
          </cell>
          <cell r="B34">
            <v>0</v>
          </cell>
          <cell r="C34">
            <v>1</v>
          </cell>
          <cell r="D34">
            <v>0</v>
          </cell>
          <cell r="E34">
            <v>5</v>
          </cell>
          <cell r="F34">
            <v>0</v>
          </cell>
          <cell r="G34">
            <v>7</v>
          </cell>
          <cell r="H34">
            <v>0</v>
          </cell>
          <cell r="I34">
            <v>0</v>
          </cell>
          <cell r="J34">
            <v>13</v>
          </cell>
          <cell r="K34">
            <v>140</v>
          </cell>
          <cell r="L34">
            <v>2.8478437754271765E-2</v>
          </cell>
          <cell r="M34">
            <v>95.376523675943275</v>
          </cell>
          <cell r="N34">
            <v>96.80257352941176</v>
          </cell>
          <cell r="O34">
            <v>95.983846153846144</v>
          </cell>
        </row>
        <row r="35">
          <cell r="A35" t="str">
            <v>진천</v>
          </cell>
          <cell r="B35">
            <v>0</v>
          </cell>
          <cell r="C35">
            <v>1</v>
          </cell>
          <cell r="D35">
            <v>0</v>
          </cell>
          <cell r="E35">
            <v>4</v>
          </cell>
          <cell r="F35">
            <v>0</v>
          </cell>
          <cell r="G35">
            <v>2</v>
          </cell>
          <cell r="H35">
            <v>0</v>
          </cell>
          <cell r="I35">
            <v>0</v>
          </cell>
          <cell r="J35">
            <v>7</v>
          </cell>
          <cell r="K35">
            <v>92</v>
          </cell>
          <cell r="L35">
            <v>1.8714401952807162E-2</v>
          </cell>
          <cell r="M35">
            <v>94.164888874498729</v>
          </cell>
          <cell r="N35">
            <v>95.240934065934056</v>
          </cell>
          <cell r="O35">
            <v>95.649999999999991</v>
          </cell>
        </row>
        <row r="36">
          <cell r="A36" t="str">
            <v>옥천</v>
          </cell>
          <cell r="B36">
            <v>0</v>
          </cell>
          <cell r="C36">
            <v>1</v>
          </cell>
          <cell r="D36">
            <v>0</v>
          </cell>
          <cell r="E36">
            <v>3</v>
          </cell>
          <cell r="F36">
            <v>0</v>
          </cell>
          <cell r="G36">
            <v>4</v>
          </cell>
          <cell r="H36">
            <v>0</v>
          </cell>
          <cell r="I36">
            <v>0</v>
          </cell>
          <cell r="J36">
            <v>8</v>
          </cell>
          <cell r="K36">
            <v>100</v>
          </cell>
          <cell r="L36">
            <v>2.034174125305126E-2</v>
          </cell>
          <cell r="M36">
            <v>94.35136791254898</v>
          </cell>
          <cell r="N36">
            <v>96.330502702219832</v>
          </cell>
          <cell r="O36">
            <v>95.947499999999991</v>
          </cell>
        </row>
        <row r="37">
          <cell r="A37" t="str">
            <v>음성</v>
          </cell>
          <cell r="B37">
            <v>0</v>
          </cell>
          <cell r="C37">
            <v>1</v>
          </cell>
          <cell r="D37">
            <v>0</v>
          </cell>
          <cell r="E37">
            <v>3</v>
          </cell>
          <cell r="F37">
            <v>0</v>
          </cell>
          <cell r="G37">
            <v>4</v>
          </cell>
          <cell r="H37">
            <v>0</v>
          </cell>
          <cell r="I37">
            <v>1</v>
          </cell>
          <cell r="J37">
            <v>9</v>
          </cell>
          <cell r="K37">
            <v>104</v>
          </cell>
          <cell r="L37">
            <v>2.115541090317331E-2</v>
          </cell>
          <cell r="M37">
            <v>94.889039719383476</v>
          </cell>
          <cell r="N37">
            <v>96.363200370808983</v>
          </cell>
          <cell r="O37">
            <v>95.865555555555545</v>
          </cell>
        </row>
        <row r="38">
          <cell r="A38" t="str">
            <v>영동</v>
          </cell>
          <cell r="B38">
            <v>0</v>
          </cell>
          <cell r="C38">
            <v>1</v>
          </cell>
          <cell r="D38">
            <v>0</v>
          </cell>
          <cell r="E38">
            <v>7</v>
          </cell>
          <cell r="F38">
            <v>0</v>
          </cell>
          <cell r="G38">
            <v>4</v>
          </cell>
          <cell r="H38">
            <v>0</v>
          </cell>
          <cell r="I38">
            <v>2</v>
          </cell>
          <cell r="J38">
            <v>14</v>
          </cell>
          <cell r="K38">
            <v>140</v>
          </cell>
          <cell r="L38">
            <v>2.8478437754271765E-2</v>
          </cell>
          <cell r="M38">
            <v>95.713559513887063</v>
          </cell>
          <cell r="N38">
            <v>96.153996376313017</v>
          </cell>
          <cell r="O38">
            <v>95.625714285714281</v>
          </cell>
        </row>
        <row r="39">
          <cell r="A39" t="str">
            <v>보은</v>
          </cell>
          <cell r="B39">
            <v>0</v>
          </cell>
          <cell r="C39">
            <v>1</v>
          </cell>
          <cell r="D39">
            <v>0</v>
          </cell>
          <cell r="E39">
            <v>3</v>
          </cell>
          <cell r="F39">
            <v>0</v>
          </cell>
          <cell r="G39">
            <v>5</v>
          </cell>
          <cell r="H39">
            <v>0</v>
          </cell>
          <cell r="I39">
            <v>0</v>
          </cell>
          <cell r="J39">
            <v>9</v>
          </cell>
          <cell r="K39">
            <v>108</v>
          </cell>
          <cell r="L39">
            <v>2.1969080553295363E-2</v>
          </cell>
          <cell r="M39">
            <v>95.701517859393533</v>
          </cell>
          <cell r="N39">
            <v>96.146259431069794</v>
          </cell>
          <cell r="O39">
            <v>96.021111111111111</v>
          </cell>
        </row>
      </sheetData>
      <sheetData sheetId="2"/>
      <sheetData sheetId="3">
        <row r="2">
          <cell r="A2" t="str">
            <v>국명</v>
          </cell>
          <cell r="B2" t="str">
            <v>관서급</v>
          </cell>
          <cell r="C2" t="str">
            <v>2015년</v>
          </cell>
          <cell r="L2" t="str">
            <v>2014년</v>
          </cell>
          <cell r="U2" t="str">
            <v>2013년</v>
          </cell>
        </row>
        <row r="3">
          <cell r="C3" t="str">
            <v>목표</v>
          </cell>
          <cell r="D3" t="str">
            <v>종합</v>
          </cell>
          <cell r="E3" t="str">
            <v>이용고객</v>
          </cell>
          <cell r="F3" t="str">
            <v>창구종합</v>
          </cell>
          <cell r="G3" t="str">
            <v>우편</v>
          </cell>
          <cell r="H3" t="str">
            <v>예금</v>
          </cell>
          <cell r="I3" t="str">
            <v>보험</v>
          </cell>
          <cell r="J3" t="str">
            <v>집배</v>
          </cell>
          <cell r="K3" t="str">
            <v>MOT</v>
          </cell>
          <cell r="L3" t="str">
            <v>목표</v>
          </cell>
          <cell r="M3" t="str">
            <v>종합</v>
          </cell>
          <cell r="N3" t="str">
            <v>이용고객</v>
          </cell>
          <cell r="O3" t="str">
            <v>창구종합</v>
          </cell>
          <cell r="P3" t="str">
            <v>우편</v>
          </cell>
          <cell r="Q3" t="str">
            <v>예금</v>
          </cell>
          <cell r="R3" t="str">
            <v>보험</v>
          </cell>
          <cell r="S3" t="str">
            <v>집배</v>
          </cell>
          <cell r="T3" t="str">
            <v>MOT</v>
          </cell>
          <cell r="U3" t="str">
            <v>목표</v>
          </cell>
          <cell r="V3" t="str">
            <v>종합</v>
          </cell>
          <cell r="W3" t="str">
            <v>창구종합</v>
          </cell>
          <cell r="X3" t="str">
            <v>우편</v>
          </cell>
          <cell r="Y3" t="str">
            <v>예금</v>
          </cell>
          <cell r="Z3" t="str">
            <v>보험</v>
          </cell>
          <cell r="AA3" t="str">
            <v>집배</v>
          </cell>
        </row>
        <row r="4">
          <cell r="A4" t="str">
            <v>대전</v>
          </cell>
          <cell r="B4" t="str">
            <v>4급</v>
          </cell>
          <cell r="C4">
            <v>93.311679207099658</v>
          </cell>
          <cell r="D4">
            <v>95.638326321983982</v>
          </cell>
          <cell r="E4">
            <v>95.461396128404189</v>
          </cell>
          <cell r="F4">
            <v>94.819162205583311</v>
          </cell>
          <cell r="G4">
            <v>93.913095628466493</v>
          </cell>
          <cell r="H4">
            <v>97.239673913043475</v>
          </cell>
          <cell r="I4">
            <v>94.3</v>
          </cell>
          <cell r="J4">
            <v>96.103630051225068</v>
          </cell>
          <cell r="K4">
            <v>99</v>
          </cell>
          <cell r="L4">
            <v>90.788829850398841</v>
          </cell>
          <cell r="M4">
            <v>93.867506763830505</v>
          </cell>
          <cell r="N4">
            <v>93.577638698768951</v>
          </cell>
          <cell r="O4">
            <v>92.556868558567189</v>
          </cell>
          <cell r="P4">
            <v>92.741877644495389</v>
          </cell>
          <cell r="Q4">
            <v>91.156817345500016</v>
          </cell>
          <cell r="R4">
            <v>95.179845942105246</v>
          </cell>
          <cell r="S4">
            <v>94.598408838970713</v>
          </cell>
          <cell r="T4">
            <v>99.375</v>
          </cell>
          <cell r="U4">
            <v>91.33</v>
          </cell>
          <cell r="V4">
            <v>93.101786578484166</v>
          </cell>
          <cell r="W4">
            <v>94.263373531377468</v>
          </cell>
          <cell r="X4">
            <v>93.405113878684617</v>
          </cell>
          <cell r="Y4">
            <v>96.018099212195139</v>
          </cell>
          <cell r="Z4">
            <v>94.542300680263153</v>
          </cell>
          <cell r="AA4">
            <v>91.940199625590864</v>
          </cell>
        </row>
        <row r="5">
          <cell r="A5" t="str">
            <v>서대전</v>
          </cell>
          <cell r="B5" t="str">
            <v>4급</v>
          </cell>
          <cell r="C5">
            <v>92.858965354330678</v>
          </cell>
          <cell r="D5">
            <v>95.30045259795348</v>
          </cell>
          <cell r="E5">
            <v>95.079423787319456</v>
          </cell>
          <cell r="F5">
            <v>93.616139240506314</v>
          </cell>
          <cell r="G5">
            <v>95.536290322580641</v>
          </cell>
          <cell r="H5">
            <v>90.758695652173898</v>
          </cell>
          <cell r="I5">
            <v>91.135526315789463</v>
          </cell>
          <cell r="J5">
            <v>96.54270833413257</v>
          </cell>
          <cell r="K5">
            <v>99.5</v>
          </cell>
          <cell r="L5">
            <v>90.15594374508936</v>
          </cell>
          <cell r="M5">
            <v>93.953117583961912</v>
          </cell>
          <cell r="N5">
            <v>93.700650088380968</v>
          </cell>
          <cell r="O5">
            <v>93.074679746949556</v>
          </cell>
          <cell r="P5">
            <v>92.950590627975075</v>
          </cell>
          <cell r="Q5">
            <v>91.938758477551062</v>
          </cell>
          <cell r="R5">
            <v>96.459519084004057</v>
          </cell>
          <cell r="S5">
            <v>94.32662042981238</v>
          </cell>
          <cell r="T5">
            <v>98.75</v>
          </cell>
          <cell r="U5">
            <v>90.362254643966011</v>
          </cell>
          <cell r="V5">
            <v>93.058603004082329</v>
          </cell>
          <cell r="W5">
            <v>92.754363377738287</v>
          </cell>
          <cell r="X5">
            <v>93.691361895123904</v>
          </cell>
          <cell r="Y5">
            <v>92.209590128289491</v>
          </cell>
          <cell r="Z5">
            <v>89.997284384210502</v>
          </cell>
          <cell r="AA5">
            <v>93.362842630426371</v>
          </cell>
        </row>
        <row r="6">
          <cell r="A6" t="str">
            <v>대전유성</v>
          </cell>
          <cell r="B6" t="str">
            <v>4급</v>
          </cell>
          <cell r="C6">
            <v>93.534345876808629</v>
          </cell>
          <cell r="D6">
            <v>93.924277269474544</v>
          </cell>
          <cell r="E6">
            <v>93.630818178394264</v>
          </cell>
          <cell r="F6">
            <v>93.608385093167669</v>
          </cell>
          <cell r="G6">
            <v>93.321910112359532</v>
          </cell>
          <cell r="H6">
            <v>94.352941176470566</v>
          </cell>
          <cell r="I6">
            <v>93.014285714285705</v>
          </cell>
          <cell r="J6">
            <v>93.653251263620874</v>
          </cell>
          <cell r="K6">
            <v>99.5</v>
          </cell>
          <cell r="L6">
            <v>91.13402830997498</v>
          </cell>
          <cell r="M6">
            <v>93.667259686310899</v>
          </cell>
          <cell r="N6">
            <v>93.333957564537798</v>
          </cell>
          <cell r="O6">
            <v>94.104840081659404</v>
          </cell>
          <cell r="P6">
            <v>94.514707349817684</v>
          </cell>
          <cell r="Q6">
            <v>92.45955459072583</v>
          </cell>
          <cell r="R6">
            <v>96.953949367391289</v>
          </cell>
          <cell r="S6">
            <v>92.563075047416191</v>
          </cell>
          <cell r="T6">
            <v>100</v>
          </cell>
          <cell r="U6">
            <v>90.286740688259897</v>
          </cell>
          <cell r="V6">
            <v>95.233832746573995</v>
          </cell>
          <cell r="W6">
            <v>95.08914164605271</v>
          </cell>
          <cell r="X6">
            <v>95.6010383058466</v>
          </cell>
          <cell r="Y6">
            <v>93.033674136352062</v>
          </cell>
          <cell r="Z6">
            <v>97.798952884782608</v>
          </cell>
          <cell r="AA6">
            <v>95.378523847095295</v>
          </cell>
        </row>
        <row r="7">
          <cell r="A7" t="str">
            <v>대전대덕</v>
          </cell>
          <cell r="B7" t="str">
            <v>4급</v>
          </cell>
          <cell r="C7">
            <v>92.778211667058173</v>
          </cell>
          <cell r="D7">
            <v>95.621019441037745</v>
          </cell>
          <cell r="E7">
            <v>95.516862569513421</v>
          </cell>
          <cell r="F7">
            <v>94.527127916331438</v>
          </cell>
          <cell r="G7">
            <v>94.63666666666667</v>
          </cell>
          <cell r="H7">
            <v>95.411335861778355</v>
          </cell>
          <cell r="I7">
            <v>91.825000000000003</v>
          </cell>
          <cell r="J7">
            <v>96.50659722269539</v>
          </cell>
          <cell r="K7">
            <v>97.6</v>
          </cell>
          <cell r="L7">
            <v>91.307663278038433</v>
          </cell>
          <cell r="M7">
            <v>92.778211667058173</v>
          </cell>
          <cell r="N7">
            <v>92.39811754427177</v>
          </cell>
          <cell r="O7">
            <v>93.960514567686417</v>
          </cell>
          <cell r="P7">
            <v>93.918668437054578</v>
          </cell>
          <cell r="Q7">
            <v>93.431291050555558</v>
          </cell>
          <cell r="R7">
            <v>95.525351004166652</v>
          </cell>
          <cell r="S7">
            <v>90.835720520857137</v>
          </cell>
          <cell r="T7">
            <v>100</v>
          </cell>
          <cell r="U7">
            <v>90.329388731058074</v>
          </cell>
          <cell r="V7">
            <v>95.641632421854837</v>
          </cell>
          <cell r="W7">
            <v>92.97791408946081</v>
          </cell>
          <cell r="X7">
            <v>93.636861350542802</v>
          </cell>
          <cell r="Y7">
            <v>91.509896722916693</v>
          </cell>
          <cell r="Z7">
            <v>92.838861604166652</v>
          </cell>
          <cell r="AA7">
            <v>98.305350754248863</v>
          </cell>
        </row>
        <row r="8">
          <cell r="A8" t="str">
            <v>대전둔산</v>
          </cell>
          <cell r="B8" t="str">
            <v>4급</v>
          </cell>
          <cell r="C8">
            <v>92.076079277817001</v>
          </cell>
          <cell r="D8">
            <v>95.519869022300057</v>
          </cell>
          <cell r="E8">
            <v>95.284072655052697</v>
          </cell>
          <cell r="F8">
            <v>93.620039249083604</v>
          </cell>
          <cell r="G8">
            <v>93.722992700729918</v>
          </cell>
          <cell r="H8">
            <v>93.116748385553677</v>
          </cell>
          <cell r="I8">
            <v>94.446428571428569</v>
          </cell>
          <cell r="J8">
            <v>96.94810606102179</v>
          </cell>
          <cell r="K8">
            <v>100</v>
          </cell>
          <cell r="L8">
            <v>89.649463427958821</v>
          </cell>
          <cell r="M8">
            <v>92.880807137507659</v>
          </cell>
          <cell r="N8">
            <v>92.874533828955435</v>
          </cell>
          <cell r="O8">
            <v>92.226064445878606</v>
          </cell>
          <cell r="P8">
            <v>93.528042945925804</v>
          </cell>
          <cell r="Q8">
            <v>89.287093451901427</v>
          </cell>
          <cell r="R8">
            <v>94.06994858463338</v>
          </cell>
          <cell r="S8">
            <v>93.523003212032279</v>
          </cell>
          <cell r="T8">
            <v>93</v>
          </cell>
          <cell r="U8">
            <v>90.504807229883184</v>
          </cell>
          <cell r="V8">
            <v>91.865997321796925</v>
          </cell>
          <cell r="W8">
            <v>91.622325781552263</v>
          </cell>
          <cell r="X8">
            <v>90.001846855811991</v>
          </cell>
          <cell r="Y8">
            <v>94.424972118534541</v>
          </cell>
          <cell r="Z8">
            <v>92.05192014137927</v>
          </cell>
          <cell r="AA8">
            <v>92.109668862041602</v>
          </cell>
        </row>
        <row r="9">
          <cell r="A9" t="str">
            <v>천안</v>
          </cell>
          <cell r="B9" t="str">
            <v>4급</v>
          </cell>
          <cell r="C9">
            <v>92.531359623709847</v>
          </cell>
          <cell r="D9">
            <v>94.906361573991731</v>
          </cell>
          <cell r="E9">
            <v>94.680380604201815</v>
          </cell>
          <cell r="F9">
            <v>93.871051611653016</v>
          </cell>
          <cell r="G9">
            <v>93.446753246753246</v>
          </cell>
          <cell r="H9">
            <v>93.978787399915717</v>
          </cell>
          <cell r="I9">
            <v>95.434722222222234</v>
          </cell>
          <cell r="J9">
            <v>95.489709596750615</v>
          </cell>
          <cell r="K9">
            <v>99.2</v>
          </cell>
          <cell r="L9">
            <v>89.687290989558903</v>
          </cell>
          <cell r="M9">
            <v>93.101754951717467</v>
          </cell>
          <cell r="N9">
            <v>92.850531528123653</v>
          </cell>
          <cell r="O9">
            <v>91.719228574818729</v>
          </cell>
          <cell r="P9">
            <v>92.525765498701347</v>
          </cell>
          <cell r="Q9">
            <v>90.235951179069772</v>
          </cell>
          <cell r="R9">
            <v>91.81242773472222</v>
          </cell>
          <cell r="S9">
            <v>93.981834481428578</v>
          </cell>
          <cell r="T9">
            <v>97.875</v>
          </cell>
          <cell r="U9">
            <v>90.407786289891348</v>
          </cell>
          <cell r="V9">
            <v>92.28822640861415</v>
          </cell>
          <cell r="W9">
            <v>91.604613923464953</v>
          </cell>
          <cell r="X9">
            <v>90.472292763888873</v>
          </cell>
          <cell r="Y9">
            <v>92.258970311029415</v>
          </cell>
          <cell r="Z9">
            <v>94.492150151470582</v>
          </cell>
          <cell r="AA9">
            <v>92.971838893763334</v>
          </cell>
        </row>
        <row r="10">
          <cell r="A10" t="str">
            <v>동천안</v>
          </cell>
          <cell r="B10" t="str">
            <v>4급</v>
          </cell>
          <cell r="C10">
            <v>93.127835276033281</v>
          </cell>
          <cell r="D10">
            <v>95.426797100156037</v>
          </cell>
          <cell r="E10">
            <v>95.254523263322142</v>
          </cell>
          <cell r="F10">
            <v>94.777070515449836</v>
          </cell>
          <cell r="G10">
            <v>94.53356481481481</v>
          </cell>
          <cell r="H10">
            <v>95.703181818181818</v>
          </cell>
          <cell r="I10">
            <v>93.603855944893681</v>
          </cell>
          <cell r="J10">
            <v>95.731976011194419</v>
          </cell>
          <cell r="K10">
            <v>98.7</v>
          </cell>
          <cell r="L10">
            <v>90.845337945829911</v>
          </cell>
          <cell r="M10">
            <v>93.127835276033281</v>
          </cell>
          <cell r="N10">
            <v>92.812195027403462</v>
          </cell>
          <cell r="O10">
            <v>93.574372113884323</v>
          </cell>
          <cell r="P10">
            <v>93.811343217543808</v>
          </cell>
          <cell r="Q10">
            <v>92.836148236225966</v>
          </cell>
          <cell r="R10">
            <v>94.486104558695644</v>
          </cell>
          <cell r="S10">
            <v>92.050017940922601</v>
          </cell>
          <cell r="T10">
            <v>99.125</v>
          </cell>
          <cell r="U10">
            <v>90.508479551150458</v>
          </cell>
          <cell r="V10">
            <v>94.518858603338003</v>
          </cell>
          <cell r="W10">
            <v>93.314600257616164</v>
          </cell>
          <cell r="X10">
            <v>93.739426478028605</v>
          </cell>
          <cell r="Y10">
            <v>92.475314223000041</v>
          </cell>
          <cell r="Z10">
            <v>93.426212222727273</v>
          </cell>
          <cell r="AA10">
            <v>95.723116949059843</v>
          </cell>
        </row>
        <row r="11">
          <cell r="A11" t="str">
            <v>공주</v>
          </cell>
          <cell r="B11" t="str">
            <v>4급</v>
          </cell>
          <cell r="C11">
            <v>94.07</v>
          </cell>
          <cell r="D11">
            <v>95.923016361142075</v>
          </cell>
          <cell r="E11">
            <v>95.70843827488639</v>
          </cell>
          <cell r="F11">
            <v>95.063278063655389</v>
          </cell>
          <cell r="G11">
            <v>94.179213483146057</v>
          </cell>
          <cell r="H11">
            <v>96.148636363636371</v>
          </cell>
          <cell r="I11">
            <v>95.967422881102124</v>
          </cell>
          <cell r="J11">
            <v>96.35359848611742</v>
          </cell>
          <cell r="K11">
            <v>100</v>
          </cell>
          <cell r="L11">
            <v>92.025606248749654</v>
          </cell>
          <cell r="M11">
            <v>94.261916748370339</v>
          </cell>
          <cell r="N11">
            <v>94.058596577231938</v>
          </cell>
          <cell r="O11">
            <v>94.289346923439254</v>
          </cell>
          <cell r="P11">
            <v>94.296785623611157</v>
          </cell>
          <cell r="Q11">
            <v>94.763176886749406</v>
          </cell>
          <cell r="R11">
            <v>92.923576889772733</v>
          </cell>
          <cell r="S11">
            <v>93.827846231024623</v>
          </cell>
          <cell r="T11">
            <v>98.125</v>
          </cell>
          <cell r="U11">
            <v>91.273333333333326</v>
          </cell>
          <cell r="V11">
            <v>95.090192203497736</v>
          </cell>
          <cell r="W11">
            <v>93.665304311663249</v>
          </cell>
          <cell r="X11">
            <v>91.995207963726699</v>
          </cell>
          <cell r="Y11">
            <v>94.90291124642863</v>
          </cell>
          <cell r="Z11">
            <v>96.896028626249986</v>
          </cell>
          <cell r="AA11">
            <v>96.515080095332209</v>
          </cell>
        </row>
        <row r="12">
          <cell r="A12" t="str">
            <v>아산</v>
          </cell>
          <cell r="B12" t="str">
            <v>4급</v>
          </cell>
          <cell r="C12">
            <v>93.54505468250133</v>
          </cell>
          <cell r="D12">
            <v>96.344324677046458</v>
          </cell>
          <cell r="E12">
            <v>96.172973344259432</v>
          </cell>
          <cell r="F12">
            <v>94.860940375010955</v>
          </cell>
          <cell r="G12">
            <v>94.573165137614666</v>
          </cell>
          <cell r="H12">
            <v>95.06395456346587</v>
          </cell>
          <cell r="I12">
            <v>95.544230769230751</v>
          </cell>
          <cell r="J12">
            <v>97.485006313507881</v>
          </cell>
          <cell r="K12">
            <v>99.6</v>
          </cell>
          <cell r="L12">
            <v>91.158545660843473</v>
          </cell>
          <cell r="M12">
            <v>94.062323963193293</v>
          </cell>
          <cell r="N12">
            <v>93.815604171782411</v>
          </cell>
          <cell r="O12">
            <v>94.362489859261487</v>
          </cell>
          <cell r="P12">
            <v>93.996945916743087</v>
          </cell>
          <cell r="Q12">
            <v>94.386684141712038</v>
          </cell>
          <cell r="R12">
            <v>95.722422256249985</v>
          </cell>
          <cell r="S12">
            <v>93.268718484303335</v>
          </cell>
          <cell r="T12">
            <v>98.75</v>
          </cell>
          <cell r="U12">
            <v>90.87521736166839</v>
          </cell>
          <cell r="V12">
            <v>94.451997507006126</v>
          </cell>
          <cell r="W12">
            <v>94.767812197101577</v>
          </cell>
          <cell r="X12">
            <v>94.476200873709715</v>
          </cell>
          <cell r="Y12">
            <v>94.451084670376233</v>
          </cell>
          <cell r="Z12">
            <v>96.340903737037024</v>
          </cell>
          <cell r="AA12">
            <v>94.136182816910676</v>
          </cell>
        </row>
        <row r="13">
          <cell r="A13" t="str">
            <v>논산</v>
          </cell>
          <cell r="B13" t="str">
            <v>4급</v>
          </cell>
          <cell r="C13">
            <v>94.058535432791032</v>
          </cell>
          <cell r="D13">
            <v>95.783561458477848</v>
          </cell>
          <cell r="E13">
            <v>95.745854166818788</v>
          </cell>
          <cell r="F13">
            <v>94.687888888888892</v>
          </cell>
          <cell r="G13">
            <v>95.145661157024776</v>
          </cell>
          <cell r="H13">
            <v>93.804333333333332</v>
          </cell>
          <cell r="I13">
            <v>95.062931034482759</v>
          </cell>
          <cell r="J13">
            <v>96.803819444748711</v>
          </cell>
          <cell r="K13">
            <v>96.5</v>
          </cell>
          <cell r="L13">
            <v>91.4899806290654</v>
          </cell>
          <cell r="M13">
            <v>94.834908402194316</v>
          </cell>
          <cell r="N13">
            <v>94.628850949678224</v>
          </cell>
          <cell r="O13">
            <v>94.771503429444536</v>
          </cell>
          <cell r="P13">
            <v>95.020531378652336</v>
          </cell>
          <cell r="Q13">
            <v>94.108947433035652</v>
          </cell>
          <cell r="R13">
            <v>95.334111915178553</v>
          </cell>
          <cell r="S13">
            <v>94.486198469911912</v>
          </cell>
          <cell r="T13">
            <v>98.75</v>
          </cell>
          <cell r="U13">
            <v>92.515601431619174</v>
          </cell>
          <cell r="V13">
            <v>93.687798469403035</v>
          </cell>
          <cell r="W13">
            <v>95.033507149811271</v>
          </cell>
          <cell r="X13">
            <v>95.706401173503593</v>
          </cell>
          <cell r="Y13">
            <v>94.542516994186073</v>
          </cell>
          <cell r="Z13">
            <v>93.435406743478268</v>
          </cell>
          <cell r="AA13">
            <v>92.342089788994798</v>
          </cell>
        </row>
        <row r="14">
          <cell r="A14" t="str">
            <v>청주</v>
          </cell>
          <cell r="B14" t="str">
            <v>4급</v>
          </cell>
          <cell r="C14">
            <v>93.947698359771579</v>
          </cell>
          <cell r="D14">
            <v>94.407836393756412</v>
          </cell>
          <cell r="E14">
            <v>94.176669888164639</v>
          </cell>
          <cell r="F14">
            <v>94.161830936573921</v>
          </cell>
          <cell r="G14">
            <v>94.663495575221219</v>
          </cell>
          <cell r="H14">
            <v>92.723437499999989</v>
          </cell>
          <cell r="I14">
            <v>95.576593967517397</v>
          </cell>
          <cell r="J14">
            <v>94.191508839755357</v>
          </cell>
          <cell r="K14">
            <v>98.8</v>
          </cell>
          <cell r="L14">
            <v>91.631886691525466</v>
          </cell>
          <cell r="M14">
            <v>94.291448313448242</v>
          </cell>
          <cell r="N14">
            <v>93.990998224682357</v>
          </cell>
          <cell r="O14">
            <v>94.964810397806289</v>
          </cell>
          <cell r="P14">
            <v>95.359709173307522</v>
          </cell>
          <cell r="Q14">
            <v>93.539426036575833</v>
          </cell>
          <cell r="R14">
            <v>97.048895824999988</v>
          </cell>
          <cell r="S14">
            <v>93.017186051558426</v>
          </cell>
          <cell r="T14">
            <v>100</v>
          </cell>
          <cell r="U14">
            <v>91.3</v>
          </cell>
          <cell r="V14">
            <v>94.567842642646283</v>
          </cell>
          <cell r="W14">
            <v>94.986506128626075</v>
          </cell>
          <cell r="X14">
            <v>94.979624397272744</v>
          </cell>
          <cell r="Y14">
            <v>94.963303434090975</v>
          </cell>
          <cell r="Z14">
            <v>95.063977904999987</v>
          </cell>
          <cell r="AA14">
            <v>94.149179156666492</v>
          </cell>
        </row>
        <row r="15">
          <cell r="A15" t="str">
            <v>서청주</v>
          </cell>
          <cell r="B15" t="str">
            <v>4급</v>
          </cell>
          <cell r="C15">
            <v>93.366279142045755</v>
          </cell>
          <cell r="D15">
            <v>94.46436171960562</v>
          </cell>
          <cell r="E15">
            <v>94.294064968005912</v>
          </cell>
          <cell r="F15">
            <v>93.899840793602138</v>
          </cell>
          <cell r="G15">
            <v>94.560593074501568</v>
          </cell>
          <cell r="H15">
            <v>91.843958947885938</v>
          </cell>
          <cell r="I15">
            <v>96.236607142857139</v>
          </cell>
          <cell r="J15">
            <v>94.688289142409715</v>
          </cell>
          <cell r="K15">
            <v>97.7</v>
          </cell>
          <cell r="L15">
            <v>90.521379524986443</v>
          </cell>
          <cell r="M15">
            <v>94.16490909219057</v>
          </cell>
          <cell r="N15">
            <v>93.923588518095343</v>
          </cell>
          <cell r="O15">
            <v>93.347098357540801</v>
          </cell>
          <cell r="P15">
            <v>93.721678288188855</v>
          </cell>
          <cell r="Q15">
            <v>92.005331059625775</v>
          </cell>
          <cell r="R15">
            <v>95.529651926785718</v>
          </cell>
          <cell r="S15">
            <v>94.500078678649885</v>
          </cell>
          <cell r="T15">
            <v>98.75</v>
          </cell>
          <cell r="U15">
            <v>91.016457555452959</v>
          </cell>
          <cell r="V15">
            <v>93.164975684063307</v>
          </cell>
          <cell r="W15">
            <v>92.996413393974848</v>
          </cell>
          <cell r="X15">
            <v>92.838473587685854</v>
          </cell>
          <cell r="Y15">
            <v>93.925623198015899</v>
          </cell>
          <cell r="Z15">
            <v>91.597862127500008</v>
          </cell>
          <cell r="AA15">
            <v>93.333537974151753</v>
          </cell>
        </row>
        <row r="16">
          <cell r="A16" t="str">
            <v>충주</v>
          </cell>
          <cell r="B16" t="str">
            <v>4급</v>
          </cell>
          <cell r="C16">
            <v>94.074063592198399</v>
          </cell>
          <cell r="D16">
            <v>96.066275648606492</v>
          </cell>
          <cell r="E16">
            <v>95.901342788006843</v>
          </cell>
          <cell r="F16">
            <v>94.589680525504534</v>
          </cell>
          <cell r="G16">
            <v>94.237610619469024</v>
          </cell>
          <cell r="H16">
            <v>94.992279913453075</v>
          </cell>
          <cell r="I16">
            <v>94.93214285714285</v>
          </cell>
          <cell r="J16">
            <v>97.213005050509139</v>
          </cell>
          <cell r="K16">
            <v>99.2</v>
          </cell>
          <cell r="L16">
            <v>90.985154598626806</v>
          </cell>
          <cell r="M16">
            <v>95.134618019844766</v>
          </cell>
          <cell r="N16">
            <v>94.878545284047121</v>
          </cell>
          <cell r="O16">
            <v>94.489447112071517</v>
          </cell>
          <cell r="P16">
            <v>93.764902454816436</v>
          </cell>
          <cell r="Q16">
            <v>94.407835033437479</v>
          </cell>
          <cell r="R16">
            <v>97.543173323913294</v>
          </cell>
          <cell r="S16">
            <v>95.267643456022725</v>
          </cell>
          <cell r="T16">
            <v>100</v>
          </cell>
          <cell r="U16">
            <v>90.589846909684525</v>
          </cell>
          <cell r="V16">
            <v>94.559820298207143</v>
          </cell>
          <cell r="W16">
            <v>95.526501236858039</v>
          </cell>
          <cell r="X16">
            <v>96.275743931523422</v>
          </cell>
          <cell r="Y16">
            <v>94.979638795238145</v>
          </cell>
          <cell r="Z16">
            <v>93.802601532500006</v>
          </cell>
          <cell r="AA16">
            <v>93.593139359556247</v>
          </cell>
        </row>
        <row r="17">
          <cell r="A17" t="str">
            <v>제천</v>
          </cell>
          <cell r="B17" t="str">
            <v>4급</v>
          </cell>
          <cell r="C17">
            <v>94.074063592198399</v>
          </cell>
          <cell r="D17">
            <v>96.092395063176156</v>
          </cell>
          <cell r="E17">
            <v>95.939363224395947</v>
          </cell>
          <cell r="F17">
            <v>95.066668367952261</v>
          </cell>
          <cell r="G17">
            <v>96.554394654610746</v>
          </cell>
          <cell r="H17">
            <v>94.059166232864811</v>
          </cell>
          <cell r="I17">
            <v>90.56527777777778</v>
          </cell>
          <cell r="J17">
            <v>96.812058080839634</v>
          </cell>
          <cell r="K17">
            <v>99</v>
          </cell>
          <cell r="L17">
            <v>91.48322456835642</v>
          </cell>
          <cell r="M17">
            <v>95.259324189698006</v>
          </cell>
          <cell r="N17">
            <v>95.075604410208427</v>
          </cell>
          <cell r="O17">
            <v>94.664012928564603</v>
          </cell>
          <cell r="P17">
            <v>94.947311434343405</v>
          </cell>
          <cell r="Q17">
            <v>94.864338311299605</v>
          </cell>
          <cell r="R17">
            <v>92.851933398863636</v>
          </cell>
          <cell r="S17">
            <v>95.487195891852267</v>
          </cell>
          <cell r="T17">
            <v>98.75</v>
          </cell>
          <cell r="U17">
            <v>91.356666666666669</v>
          </cell>
          <cell r="V17">
            <v>94.330965365498457</v>
          </cell>
          <cell r="W17">
            <v>93.941909557741027</v>
          </cell>
          <cell r="X17">
            <v>93.278843516975328</v>
          </cell>
          <cell r="Y17">
            <v>95.266561527907029</v>
          </cell>
          <cell r="Z17">
            <v>93.800531930996925</v>
          </cell>
          <cell r="AA17">
            <v>94.720021173255887</v>
          </cell>
        </row>
        <row r="18">
          <cell r="A18" t="str">
            <v>세종</v>
          </cell>
          <cell r="B18" t="str">
            <v>4급</v>
          </cell>
          <cell r="C18">
            <v>94.036741287973499</v>
          </cell>
          <cell r="D18">
            <v>95.380964052438969</v>
          </cell>
          <cell r="E18">
            <v>95.343120055198924</v>
          </cell>
          <cell r="F18">
            <v>94.394281045751626</v>
          </cell>
          <cell r="G18">
            <v>94.068518518518516</v>
          </cell>
          <cell r="H18">
            <v>94.384499999999989</v>
          </cell>
          <cell r="I18">
            <v>95.615909090909099</v>
          </cell>
          <cell r="J18">
            <v>96.291959064646193</v>
          </cell>
          <cell r="K18">
            <v>96.1</v>
          </cell>
          <cell r="L18">
            <v>91.973120659977155</v>
          </cell>
          <cell r="M18">
            <v>94.107293134900331</v>
          </cell>
          <cell r="N18">
            <v>93.862940142000355</v>
          </cell>
          <cell r="O18">
            <v>93.597258278782704</v>
          </cell>
          <cell r="P18">
            <v>94.18698280657901</v>
          </cell>
          <cell r="Q18">
            <v>93.494459754326925</v>
          </cell>
          <cell r="R18">
            <v>91.952527410416636</v>
          </cell>
          <cell r="S18">
            <v>94.128622005218006</v>
          </cell>
          <cell r="T18">
            <v>98.75</v>
          </cell>
          <cell r="U18">
            <v>93.084752124794804</v>
          </cell>
          <cell r="V18">
            <v>94.109734726871693</v>
          </cell>
          <cell r="W18">
            <v>93.794577594243364</v>
          </cell>
          <cell r="X18">
            <v>94.362668766385866</v>
          </cell>
          <cell r="Y18">
            <v>93.023066605468756</v>
          </cell>
          <cell r="Z18">
            <v>93.329891935526305</v>
          </cell>
          <cell r="AA18">
            <v>94.424891859500022</v>
          </cell>
        </row>
        <row r="19">
          <cell r="A19" t="str">
            <v>서산</v>
          </cell>
          <cell r="B19" t="str">
            <v>4급</v>
          </cell>
          <cell r="C19">
            <v>94.469224195144022</v>
          </cell>
          <cell r="D19">
            <v>95.63244805341273</v>
          </cell>
          <cell r="E19">
            <v>95.481524266750242</v>
          </cell>
          <cell r="F19">
            <v>94.725767831501628</v>
          </cell>
          <cell r="G19">
            <v>95.130321811906583</v>
          </cell>
          <cell r="H19">
            <v>92.953999999999994</v>
          </cell>
          <cell r="I19">
            <v>97.621052631578948</v>
          </cell>
          <cell r="J19">
            <v>96.237280701998884</v>
          </cell>
          <cell r="K19">
            <v>98.5</v>
          </cell>
          <cell r="L19">
            <v>91.357282171058159</v>
          </cell>
          <cell r="M19">
            <v>95.461671055529578</v>
          </cell>
          <cell r="N19">
            <v>95.354390584767984</v>
          </cell>
          <cell r="O19">
            <v>95.808518445119063</v>
          </cell>
          <cell r="P19">
            <v>94.814468698236112</v>
          </cell>
          <cell r="Q19">
            <v>97.063415680434801</v>
          </cell>
          <cell r="R19">
            <v>96.709000601136353</v>
          </cell>
          <cell r="S19">
            <v>94.900262724416905</v>
          </cell>
          <cell r="T19">
            <v>97.5</v>
          </cell>
          <cell r="U19">
            <v>92.82740668033415</v>
          </cell>
          <cell r="V19">
            <v>93.286128368800917</v>
          </cell>
          <cell r="W19">
            <v>94.379194185472983</v>
          </cell>
          <cell r="X19">
            <v>94.192167809475805</v>
          </cell>
          <cell r="Y19">
            <v>94.785557355833348</v>
          </cell>
          <cell r="Z19">
            <v>94.347864722368428</v>
          </cell>
          <cell r="AA19">
            <v>92.19306255212885</v>
          </cell>
        </row>
        <row r="20">
          <cell r="A20" t="str">
            <v>금산</v>
          </cell>
          <cell r="B20" t="str">
            <v>5급</v>
          </cell>
          <cell r="C20">
            <v>95.103710238890187</v>
          </cell>
          <cell r="D20">
            <v>95.870986667813995</v>
          </cell>
          <cell r="E20">
            <v>95.706301755593685</v>
          </cell>
          <cell r="F20">
            <v>95.672241557102353</v>
          </cell>
          <cell r="G20">
            <v>95.26814516129032</v>
          </cell>
          <cell r="H20">
            <v>95.853378378378366</v>
          </cell>
          <cell r="I20">
            <v>96.691792343387476</v>
          </cell>
          <cell r="J20">
            <v>95.740361954085017</v>
          </cell>
          <cell r="K20">
            <v>99</v>
          </cell>
          <cell r="L20">
            <v>92.696765354026581</v>
          </cell>
          <cell r="M20">
            <v>95.513958721515607</v>
          </cell>
          <cell r="N20">
            <v>95.389693391069073</v>
          </cell>
          <cell r="O20">
            <v>94.880221707327522</v>
          </cell>
          <cell r="P20">
            <v>94.079451152016176</v>
          </cell>
          <cell r="Q20">
            <v>98.277033942361115</v>
          </cell>
          <cell r="R20">
            <v>90.844806927777782</v>
          </cell>
          <cell r="S20">
            <v>95.899165074810625</v>
          </cell>
          <cell r="T20">
            <v>97.875</v>
          </cell>
          <cell r="U20">
            <v>93.215225797811897</v>
          </cell>
          <cell r="V20">
            <v>95.341435262447874</v>
          </cell>
          <cell r="W20">
            <v>94.723515179895728</v>
          </cell>
          <cell r="X20">
            <v>95.624243217312255</v>
          </cell>
          <cell r="Y20">
            <v>93.844470950000002</v>
          </cell>
          <cell r="Z20">
            <v>93.227306407812492</v>
          </cell>
          <cell r="AA20">
            <v>95.95935534500002</v>
          </cell>
        </row>
        <row r="21">
          <cell r="A21" t="str">
            <v>홍성</v>
          </cell>
          <cell r="B21" t="str">
            <v>5급</v>
          </cell>
          <cell r="C21">
            <v>95.142559940341329</v>
          </cell>
          <cell r="D21">
            <v>96.580064665102668</v>
          </cell>
          <cell r="E21">
            <v>96.579015436950186</v>
          </cell>
          <cell r="F21">
            <v>95.518005621277879</v>
          </cell>
          <cell r="G21">
            <v>95.514063929271984</v>
          </cell>
          <cell r="H21">
            <v>95.607894736842113</v>
          </cell>
          <cell r="I21">
            <v>95.344444444444434</v>
          </cell>
          <cell r="J21">
            <v>97.640025252622479</v>
          </cell>
          <cell r="K21">
            <v>96.6</v>
          </cell>
          <cell r="L21">
            <v>92.860272049964848</v>
          </cell>
          <cell r="M21">
            <v>95.672113752783872</v>
          </cell>
          <cell r="N21">
            <v>95.510119739772506</v>
          </cell>
          <cell r="O21">
            <v>94.728295335246543</v>
          </cell>
          <cell r="P21">
            <v>94.453009655106754</v>
          </cell>
          <cell r="Q21">
            <v>93.228290959994908</v>
          </cell>
          <cell r="R21">
            <v>98.610624948749987</v>
          </cell>
          <cell r="S21">
            <v>96.291944144298455</v>
          </cell>
          <cell r="T21">
            <v>98.75</v>
          </cell>
          <cell r="U21">
            <v>93.092878714710693</v>
          </cell>
          <cell r="V21">
            <v>95.654255581634345</v>
          </cell>
          <cell r="W21">
            <v>94.887215039018727</v>
          </cell>
          <cell r="X21">
            <v>96.015937192796613</v>
          </cell>
          <cell r="Y21">
            <v>92.306152282812519</v>
          </cell>
          <cell r="Z21">
            <v>95.887177609375001</v>
          </cell>
          <cell r="AA21">
            <v>96.421296124249977</v>
          </cell>
        </row>
        <row r="22">
          <cell r="A22" t="str">
            <v>예산</v>
          </cell>
          <cell r="B22" t="str">
            <v>5급</v>
          </cell>
          <cell r="C22">
            <v>95.713559513887063</v>
          </cell>
          <cell r="D22">
            <v>96.726754759203502</v>
          </cell>
          <cell r="E22">
            <v>96.649215536003695</v>
          </cell>
          <cell r="F22">
            <v>95.176461375310382</v>
          </cell>
          <cell r="G22">
            <v>95.343062180037521</v>
          </cell>
          <cell r="H22">
            <v>94.759075824617867</v>
          </cell>
          <cell r="I22">
            <v>95.527380952380952</v>
          </cell>
          <cell r="J22">
            <v>98.121969696696965</v>
          </cell>
          <cell r="K22">
            <v>98.2</v>
          </cell>
          <cell r="L22">
            <v>93.938340655077994</v>
          </cell>
          <cell r="M22">
            <v>97.024510500005988</v>
          </cell>
          <cell r="N22">
            <v>96.933695263164196</v>
          </cell>
          <cell r="O22">
            <v>96.720315351186713</v>
          </cell>
          <cell r="P22">
            <v>97.493317677027079</v>
          </cell>
          <cell r="Q22">
            <v>95.810844853013393</v>
          </cell>
          <cell r="R22">
            <v>96.231621717708322</v>
          </cell>
          <cell r="S22">
            <v>97.147075175141666</v>
          </cell>
          <cell r="T22">
            <v>98.75</v>
          </cell>
          <cell r="U22">
            <v>93.55</v>
          </cell>
          <cell r="V22">
            <v>96.223669707861077</v>
          </cell>
          <cell r="W22">
            <v>96.757187794192703</v>
          </cell>
          <cell r="X22">
            <v>96.702520568962228</v>
          </cell>
          <cell r="Y22">
            <v>96.816956772142902</v>
          </cell>
          <cell r="Z22">
            <v>96.816843165789464</v>
          </cell>
          <cell r="AA22">
            <v>95.690151621529452</v>
          </cell>
        </row>
        <row r="23">
          <cell r="A23" t="str">
            <v>서천</v>
          </cell>
          <cell r="B23" t="str">
            <v>5급</v>
          </cell>
          <cell r="C23">
            <v>94.955502887868505</v>
          </cell>
          <cell r="D23">
            <v>96.718841923525858</v>
          </cell>
          <cell r="E23">
            <v>96.888254656343008</v>
          </cell>
          <cell r="F23">
            <v>95.7071069554747</v>
          </cell>
          <cell r="G23">
            <v>95.712179487179469</v>
          </cell>
          <cell r="H23">
            <v>94.733310888803373</v>
          </cell>
          <cell r="I23">
            <v>98.173715932914035</v>
          </cell>
          <cell r="J23">
            <v>98.069402357211288</v>
          </cell>
          <cell r="K23">
            <v>93.5</v>
          </cell>
          <cell r="L23">
            <v>93.256580805093719</v>
          </cell>
          <cell r="M23">
            <v>95.227583816014814</v>
          </cell>
          <cell r="N23">
            <v>94.9764040168577</v>
          </cell>
          <cell r="O23">
            <v>95.297778580211641</v>
          </cell>
          <cell r="P23">
            <v>95.839484154807764</v>
          </cell>
          <cell r="Q23">
            <v>94.473757232558143</v>
          </cell>
          <cell r="R23">
            <v>94.956772736743503</v>
          </cell>
          <cell r="S23">
            <v>94.655029453503758</v>
          </cell>
          <cell r="T23">
            <v>100</v>
          </cell>
          <cell r="U23">
            <v>93.55</v>
          </cell>
          <cell r="V23">
            <v>94.75662924912649</v>
          </cell>
          <cell r="W23">
            <v>95.629443947935783</v>
          </cell>
          <cell r="X23">
            <v>95.888515110080661</v>
          </cell>
          <cell r="Y23">
            <v>95.687231126666674</v>
          </cell>
          <cell r="Z23">
            <v>94.582618805882362</v>
          </cell>
          <cell r="AA23">
            <v>93.883814550317197</v>
          </cell>
        </row>
        <row r="24">
          <cell r="A24" t="str">
            <v>당진</v>
          </cell>
          <cell r="B24" t="str">
            <v>5급</v>
          </cell>
          <cell r="C24">
            <v>93.413245756062736</v>
          </cell>
          <cell r="D24">
            <v>95.195787536887551</v>
          </cell>
          <cell r="E24">
            <v>95.048197407250044</v>
          </cell>
          <cell r="F24">
            <v>94.46331400671346</v>
          </cell>
          <cell r="G24">
            <v>93.140189873417739</v>
          </cell>
          <cell r="H24">
            <v>95.694011799410049</v>
          </cell>
          <cell r="I24">
            <v>96.803571428571431</v>
          </cell>
          <cell r="J24">
            <v>95.633080807786612</v>
          </cell>
          <cell r="K24">
            <v>98</v>
          </cell>
          <cell r="L24">
            <v>91.105098439637331</v>
          </cell>
          <cell r="M24">
            <v>93.422688899819306</v>
          </cell>
          <cell r="N24">
            <v>93.168619894546651</v>
          </cell>
          <cell r="O24">
            <v>93.536161492492297</v>
          </cell>
          <cell r="P24">
            <v>90.787019144512286</v>
          </cell>
          <cell r="Q24">
            <v>96.32083010736406</v>
          </cell>
          <cell r="R24">
            <v>98.087051713636342</v>
          </cell>
          <cell r="S24">
            <v>92.801078296601005</v>
          </cell>
          <cell r="T24">
            <v>98.25</v>
          </cell>
          <cell r="U24">
            <v>91.502431482647239</v>
          </cell>
          <cell r="V24">
            <v>94.325889393134048</v>
          </cell>
          <cell r="W24">
            <v>93.537257986268074</v>
          </cell>
          <cell r="X24">
            <v>94.306672325186284</v>
          </cell>
          <cell r="Y24">
            <v>93.747668960483864</v>
          </cell>
          <cell r="Z24">
            <v>90.845130737202382</v>
          </cell>
          <cell r="AA24">
            <v>95.114520800000022</v>
          </cell>
        </row>
        <row r="25">
          <cell r="A25" t="str">
            <v>청양</v>
          </cell>
          <cell r="B25" t="str">
            <v>5급</v>
          </cell>
          <cell r="C25">
            <v>95.713559513887063</v>
          </cell>
          <cell r="D25">
            <v>97.634190867048133</v>
          </cell>
          <cell r="E25">
            <v>97.620200912682236</v>
          </cell>
          <cell r="F25">
            <v>96.961403508771923</v>
          </cell>
          <cell r="G25">
            <v>96.326293103448279</v>
          </cell>
          <cell r="H25">
            <v>97.081081081081081</v>
          </cell>
          <cell r="I25">
            <v>98.667105263157907</v>
          </cell>
          <cell r="J25">
            <v>98.278998316592578</v>
          </cell>
          <cell r="K25">
            <v>97.9</v>
          </cell>
          <cell r="L25">
            <v>93.192506054664776</v>
          </cell>
          <cell r="M25">
            <v>96.546414818431387</v>
          </cell>
          <cell r="N25">
            <v>96.364647177296206</v>
          </cell>
          <cell r="O25">
            <v>96.363114487929664</v>
          </cell>
          <cell r="P25">
            <v>97.274955371103403</v>
          </cell>
          <cell r="Q25">
            <v>95.108461218243264</v>
          </cell>
          <cell r="R25">
            <v>96.022872369736845</v>
          </cell>
          <cell r="S25">
            <v>96.366179866662748</v>
          </cell>
          <cell r="T25">
            <v>100</v>
          </cell>
          <cell r="U25">
            <v>93.490000000000009</v>
          </cell>
          <cell r="V25">
            <v>96.007489202058451</v>
          </cell>
          <cell r="W25">
            <v>96.891148667084011</v>
          </cell>
          <cell r="X25">
            <v>96.586812559504864</v>
          </cell>
          <cell r="Y25">
            <v>97.074086149999999</v>
          </cell>
          <cell r="Z25">
            <v>97.453561795312496</v>
          </cell>
          <cell r="AA25">
            <v>95.123829737032878</v>
          </cell>
        </row>
        <row r="26">
          <cell r="A26" t="str">
            <v>부여</v>
          </cell>
          <cell r="B26" t="str">
            <v>5급</v>
          </cell>
          <cell r="C26">
            <v>95.713559513887063</v>
          </cell>
          <cell r="D26">
            <v>98.118951796830885</v>
          </cell>
          <cell r="E26">
            <v>98.156791365085141</v>
          </cell>
          <cell r="F26">
            <v>97.115855457227127</v>
          </cell>
          <cell r="G26">
            <v>97.805232558139537</v>
          </cell>
          <cell r="H26">
            <v>95.991246983105384</v>
          </cell>
          <cell r="I26">
            <v>97.238095238095241</v>
          </cell>
          <cell r="J26">
            <v>99.197727272943169</v>
          </cell>
          <cell r="K26">
            <v>97.4</v>
          </cell>
          <cell r="L26">
            <v>92.749173446354959</v>
          </cell>
          <cell r="M26">
            <v>96.676338506936418</v>
          </cell>
          <cell r="N26">
            <v>96.665882638880447</v>
          </cell>
          <cell r="O26">
            <v>96.82394698070965</v>
          </cell>
          <cell r="P26">
            <v>95.827802350595334</v>
          </cell>
          <cell r="Q26">
            <v>97.555526767452847</v>
          </cell>
          <cell r="R26">
            <v>98.620043789999983</v>
          </cell>
          <cell r="S26">
            <v>96.507818297051244</v>
          </cell>
          <cell r="T26">
            <v>96.875</v>
          </cell>
          <cell r="U26">
            <v>93.528919144378293</v>
          </cell>
          <cell r="V26">
            <v>95.197417020967578</v>
          </cell>
          <cell r="W26">
            <v>95.602115522621645</v>
          </cell>
          <cell r="X26">
            <v>96.809156078243646</v>
          </cell>
          <cell r="Y26">
            <v>93.044551303977315</v>
          </cell>
          <cell r="Z26">
            <v>97.505494762499993</v>
          </cell>
          <cell r="AA26">
            <v>94.792718519313496</v>
          </cell>
        </row>
        <row r="27">
          <cell r="A27" t="str">
            <v>보령</v>
          </cell>
          <cell r="B27" t="str">
            <v>5급</v>
          </cell>
          <cell r="C27">
            <v>94.840296371253686</v>
          </cell>
          <cell r="D27">
            <v>97.495952169332412</v>
          </cell>
          <cell r="E27">
            <v>97.427318072981492</v>
          </cell>
          <cell r="F27">
            <v>96.426774193548383</v>
          </cell>
          <cell r="G27">
            <v>97.403488372093037</v>
          </cell>
          <cell r="H27">
            <v>94.730102040816334</v>
          </cell>
          <cell r="I27">
            <v>96.383749999999992</v>
          </cell>
          <cell r="J27">
            <v>98.42786195241456</v>
          </cell>
          <cell r="K27">
            <v>98.8</v>
          </cell>
          <cell r="L27">
            <v>92.722922785257666</v>
          </cell>
          <cell r="M27">
            <v>95.601902122631728</v>
          </cell>
          <cell r="N27">
            <v>95.502002234349192</v>
          </cell>
          <cell r="O27">
            <v>96.751774470536446</v>
          </cell>
          <cell r="P27">
            <v>97.030972811249782</v>
          </cell>
          <cell r="Q27">
            <v>96.957704656914899</v>
          </cell>
          <cell r="R27">
            <v>95.207730179545436</v>
          </cell>
          <cell r="S27">
            <v>94.252229998161951</v>
          </cell>
          <cell r="T27">
            <v>97.5</v>
          </cell>
          <cell r="U27">
            <v>92.858460223543375</v>
          </cell>
          <cell r="V27">
            <v>95.529027560521456</v>
          </cell>
          <cell r="W27">
            <v>94.966568794542894</v>
          </cell>
          <cell r="X27">
            <v>95.363486214634506</v>
          </cell>
          <cell r="Y27">
            <v>94.316988940909113</v>
          </cell>
          <cell r="Z27">
            <v>94.674239878947347</v>
          </cell>
          <cell r="AA27">
            <v>96.091486326500018</v>
          </cell>
        </row>
        <row r="28">
          <cell r="A28" t="str">
            <v>태안</v>
          </cell>
          <cell r="B28" t="str">
            <v>5급</v>
          </cell>
          <cell r="C28">
            <v>95.605273693387431</v>
          </cell>
          <cell r="D28">
            <v>95.995061001777174</v>
          </cell>
          <cell r="E28">
            <v>95.852695791344402</v>
          </cell>
          <cell r="F28">
            <v>95.548278787597042</v>
          </cell>
          <cell r="G28">
            <v>96.496568627450998</v>
          </cell>
          <cell r="H28">
            <v>93.571171651113232</v>
          </cell>
          <cell r="I28">
            <v>96.356249999999989</v>
          </cell>
          <cell r="J28">
            <v>96.157112795091749</v>
          </cell>
          <cell r="K28">
            <v>98.7</v>
          </cell>
          <cell r="L28">
            <v>92.766594156823118</v>
          </cell>
          <cell r="M28">
            <v>96.47104010485819</v>
          </cell>
          <cell r="N28">
            <v>96.515568531429679</v>
          </cell>
          <cell r="O28">
            <v>96.246553996261412</v>
          </cell>
          <cell r="P28">
            <v>97.445085446759336</v>
          </cell>
          <cell r="Q28">
            <v>93.728931893491634</v>
          </cell>
          <cell r="R28">
            <v>97.406468061111099</v>
          </cell>
          <cell r="S28">
            <v>96.784583066597946</v>
          </cell>
          <cell r="T28">
            <v>95.625</v>
          </cell>
          <cell r="U28">
            <v>93.148786968410448</v>
          </cell>
          <cell r="V28">
            <v>95.537490273159321</v>
          </cell>
          <cell r="W28">
            <v>96.110944034318678</v>
          </cell>
          <cell r="X28">
            <v>96.0872421141693</v>
          </cell>
          <cell r="Y28">
            <v>94.909348891999997</v>
          </cell>
          <cell r="Z28">
            <v>98.331141394642842</v>
          </cell>
          <cell r="AA28">
            <v>94.964036511999964</v>
          </cell>
        </row>
        <row r="29">
          <cell r="A29" t="str">
            <v>단양</v>
          </cell>
          <cell r="B29" t="str">
            <v>5급</v>
          </cell>
          <cell r="C29">
            <v>95.057682782449334</v>
          </cell>
          <cell r="D29">
            <v>97.292959806436684</v>
          </cell>
          <cell r="E29">
            <v>97.150484006775457</v>
          </cell>
          <cell r="F29">
            <v>96.831818181818178</v>
          </cell>
          <cell r="G29">
            <v>97.144565217391303</v>
          </cell>
          <cell r="H29">
            <v>95.80119047619047</v>
          </cell>
          <cell r="I29">
            <v>97.557500000000005</v>
          </cell>
          <cell r="J29">
            <v>97.469149831732736</v>
          </cell>
          <cell r="K29">
            <v>100</v>
          </cell>
          <cell r="L29">
            <v>93.120276917768123</v>
          </cell>
          <cell r="M29">
            <v>95.057682782449334</v>
          </cell>
          <cell r="N29">
            <v>94.863350297315094</v>
          </cell>
          <cell r="O29">
            <v>94.517934261365511</v>
          </cell>
          <cell r="P29">
            <v>93.991353914186803</v>
          </cell>
          <cell r="Q29">
            <v>93.259083791071447</v>
          </cell>
          <cell r="R29">
            <v>99.066730826785701</v>
          </cell>
          <cell r="S29">
            <v>95.208766333264677</v>
          </cell>
          <cell r="T29">
            <v>98.75</v>
          </cell>
          <cell r="U29">
            <v>93.074575543124396</v>
          </cell>
          <cell r="V29">
            <v>96.323452752728912</v>
          </cell>
          <cell r="W29">
            <v>96.088316322582841</v>
          </cell>
          <cell r="X29">
            <v>95.074030971846639</v>
          </cell>
          <cell r="Y29">
            <v>97.323436782291651</v>
          </cell>
          <cell r="Z29">
            <v>97.727272727272734</v>
          </cell>
          <cell r="AA29">
            <v>96.558589182874968</v>
          </cell>
        </row>
        <row r="30">
          <cell r="A30" t="str">
            <v>괴산</v>
          </cell>
          <cell r="B30" t="str">
            <v>5급</v>
          </cell>
          <cell r="C30">
            <v>95.376523675943275</v>
          </cell>
          <cell r="D30">
            <v>96.400918344126936</v>
          </cell>
          <cell r="E30">
            <v>96.211492993817828</v>
          </cell>
          <cell r="F30">
            <v>96.80257352941176</v>
          </cell>
          <cell r="G30">
            <v>97.969642857142858</v>
          </cell>
          <cell r="H30">
            <v>96.975531914893608</v>
          </cell>
          <cell r="I30">
            <v>92.075000000000003</v>
          </cell>
          <cell r="J30">
            <v>95.620412458223882</v>
          </cell>
          <cell r="K30">
            <v>100</v>
          </cell>
          <cell r="L30">
            <v>92.527898891595541</v>
          </cell>
          <cell r="M30">
            <v>95.594348507986851</v>
          </cell>
          <cell r="N30">
            <v>95.382208955775639</v>
          </cell>
          <cell r="O30">
            <v>94.708506707832072</v>
          </cell>
          <cell r="P30">
            <v>94.474872251577594</v>
          </cell>
          <cell r="Q30">
            <v>94.999652075</v>
          </cell>
          <cell r="R30">
            <v>94.882737303947351</v>
          </cell>
          <cell r="S30">
            <v>96.055911203719191</v>
          </cell>
          <cell r="T30">
            <v>99.625</v>
          </cell>
          <cell r="U30">
            <v>92.054868744188411</v>
          </cell>
          <cell r="V30">
            <v>96.54972961066116</v>
          </cell>
          <cell r="W30">
            <v>95.52216750426814</v>
          </cell>
          <cell r="X30">
            <v>94.861305235158639</v>
          </cell>
          <cell r="Y30">
            <v>97.117863125735326</v>
          </cell>
          <cell r="Z30">
            <v>94.290355785714269</v>
          </cell>
          <cell r="AA30">
            <v>97.57729171705418</v>
          </cell>
        </row>
        <row r="31">
          <cell r="A31" t="str">
            <v>진천</v>
          </cell>
          <cell r="B31" t="str">
            <v>5급</v>
          </cell>
          <cell r="C31">
            <v>94.164888874498729</v>
          </cell>
          <cell r="D31">
            <v>95.38640601312963</v>
          </cell>
          <cell r="E31">
            <v>95.364637908557512</v>
          </cell>
          <cell r="F31">
            <v>95.240934065934056</v>
          </cell>
          <cell r="G31">
            <v>94.967934782608694</v>
          </cell>
          <cell r="H31">
            <v>96.495689655172413</v>
          </cell>
          <cell r="I31">
            <v>93.751562500000006</v>
          </cell>
          <cell r="J31">
            <v>95.488341751180968</v>
          </cell>
          <cell r="K31">
            <v>95.8</v>
          </cell>
          <cell r="L31">
            <v>92.266028245983364</v>
          </cell>
          <cell r="M31">
            <v>94.164888874498729</v>
          </cell>
          <cell r="N31">
            <v>93.857777762630249</v>
          </cell>
          <cell r="O31">
            <v>93.773236961748836</v>
          </cell>
          <cell r="P31">
            <v>93.236689255978291</v>
          </cell>
          <cell r="Q31">
            <v>94.993531659612202</v>
          </cell>
          <cell r="R31">
            <v>93.21517478088235</v>
          </cell>
          <cell r="S31">
            <v>93.942318563511662</v>
          </cell>
          <cell r="T31">
            <v>100</v>
          </cell>
          <cell r="U31">
            <v>93.347917929699051</v>
          </cell>
          <cell r="V31">
            <v>94.479677356748169</v>
          </cell>
          <cell r="W31">
            <v>94.744264451351356</v>
          </cell>
          <cell r="X31">
            <v>95.230724426315774</v>
          </cell>
          <cell r="Y31">
            <v>94.857593169791656</v>
          </cell>
          <cell r="Z31">
            <v>92.977150427083316</v>
          </cell>
          <cell r="AA31">
            <v>94.215090262144997</v>
          </cell>
        </row>
        <row r="32">
          <cell r="A32" t="str">
            <v>옥천</v>
          </cell>
          <cell r="B32" t="str">
            <v>5급</v>
          </cell>
          <cell r="C32">
            <v>94.35136791254898</v>
          </cell>
          <cell r="D32">
            <v>96.431003935533766</v>
          </cell>
          <cell r="E32">
            <v>96.327372563719763</v>
          </cell>
          <cell r="F32">
            <v>96.330502702219832</v>
          </cell>
          <cell r="G32">
            <v>97.656481481481492</v>
          </cell>
          <cell r="H32">
            <v>93.910041149239476</v>
          </cell>
          <cell r="I32">
            <v>96.53235294117647</v>
          </cell>
          <cell r="J32">
            <v>96.32424242521968</v>
          </cell>
          <cell r="K32">
            <v>98.4</v>
          </cell>
          <cell r="L32">
            <v>91.761831936139245</v>
          </cell>
          <cell r="M32">
            <v>94.941110321880132</v>
          </cell>
          <cell r="N32">
            <v>94.674852970400138</v>
          </cell>
          <cell r="O32">
            <v>94.027654936396871</v>
          </cell>
          <cell r="P32">
            <v>93.601489414473733</v>
          </cell>
          <cell r="Q32">
            <v>95.76577200296164</v>
          </cell>
          <cell r="R32">
            <v>91.997507015277762</v>
          </cell>
          <cell r="S32">
            <v>95.322051004403406</v>
          </cell>
          <cell r="T32">
            <v>100</v>
          </cell>
          <cell r="U32">
            <v>93.204306864513413</v>
          </cell>
          <cell r="V32">
            <v>93.585458701121794</v>
          </cell>
          <cell r="W32">
            <v>94.690154463126007</v>
          </cell>
          <cell r="X32">
            <v>95.390488922169467</v>
          </cell>
          <cell r="Y32">
            <v>94.122937986607127</v>
          </cell>
          <cell r="Z32">
            <v>93.270682943749989</v>
          </cell>
          <cell r="AA32">
            <v>92.480762939117582</v>
          </cell>
        </row>
        <row r="33">
          <cell r="A33" t="str">
            <v>음성</v>
          </cell>
          <cell r="B33" t="str">
            <v>5급</v>
          </cell>
          <cell r="C33">
            <v>94.889039719383476</v>
          </cell>
          <cell r="D33">
            <v>96.568427162825387</v>
          </cell>
          <cell r="E33">
            <v>96.41413385560567</v>
          </cell>
          <cell r="F33">
            <v>96.363200370808983</v>
          </cell>
          <cell r="G33">
            <v>97.534722222222229</v>
          </cell>
          <cell r="H33">
            <v>95.60800647779044</v>
          </cell>
          <cell r="I33">
            <v>93.756802010827542</v>
          </cell>
          <cell r="J33">
            <v>96.465067340402342</v>
          </cell>
          <cell r="K33">
            <v>99.5</v>
          </cell>
          <cell r="L33">
            <v>92.000353127496837</v>
          </cell>
          <cell r="M33">
            <v>95.417879940454725</v>
          </cell>
          <cell r="N33">
            <v>95.209610463636551</v>
          </cell>
          <cell r="O33">
            <v>95.884930002447561</v>
          </cell>
          <cell r="P33">
            <v>96.63127327955786</v>
          </cell>
          <cell r="Q33">
            <v>95.459878767857163</v>
          </cell>
          <cell r="R33">
            <v>93.990855544999988</v>
          </cell>
          <cell r="S33">
            <v>94.534290924825541</v>
          </cell>
          <cell r="T33">
            <v>99.375</v>
          </cell>
          <cell r="U33">
            <v>92.307903991204981</v>
          </cell>
          <cell r="V33">
            <v>95.148859852471531</v>
          </cell>
          <cell r="W33">
            <v>94.404882933888857</v>
          </cell>
          <cell r="X33">
            <v>96.334912562234052</v>
          </cell>
          <cell r="Y33">
            <v>92.747154152884605</v>
          </cell>
          <cell r="Z33">
            <v>91.604268567647054</v>
          </cell>
          <cell r="AA33">
            <v>95.892836771054206</v>
          </cell>
        </row>
        <row r="34">
          <cell r="A34" t="str">
            <v>영동</v>
          </cell>
          <cell r="B34" t="str">
            <v>5급</v>
          </cell>
          <cell r="C34">
            <v>95.713559513887063</v>
          </cell>
          <cell r="D34">
            <v>96.778287168214533</v>
          </cell>
          <cell r="E34">
            <v>96.629775966541615</v>
          </cell>
          <cell r="F34">
            <v>96.153996376313017</v>
          </cell>
          <cell r="G34">
            <v>96.279939628978084</v>
          </cell>
          <cell r="H34">
            <v>95.740384615384599</v>
          </cell>
          <cell r="I34">
            <v>96.579687500000006</v>
          </cell>
          <cell r="J34">
            <v>97.105555556770213</v>
          </cell>
          <cell r="K34">
            <v>99.6</v>
          </cell>
          <cell r="L34">
            <v>93.162808111017426</v>
          </cell>
          <cell r="M34">
            <v>96.328656925393744</v>
          </cell>
          <cell r="N34">
            <v>96.135428342519731</v>
          </cell>
          <cell r="O34">
            <v>96.739965929546983</v>
          </cell>
          <cell r="P34">
            <v>97.668041018214353</v>
          </cell>
          <cell r="Q34">
            <v>95.686804446992383</v>
          </cell>
          <cell r="R34">
            <v>95.646670793055549</v>
          </cell>
          <cell r="S34">
            <v>95.530890755492464</v>
          </cell>
          <cell r="T34">
            <v>100</v>
          </cell>
          <cell r="U34">
            <v>92.644540315497451</v>
          </cell>
          <cell r="V34">
            <v>96.836413691464728</v>
          </cell>
          <cell r="W34">
            <v>95.889469137076517</v>
          </cell>
          <cell r="X34">
            <v>95.736023783474579</v>
          </cell>
          <cell r="Y34">
            <v>96.166529222490553</v>
          </cell>
          <cell r="Z34">
            <v>95.883488673333332</v>
          </cell>
          <cell r="AA34">
            <v>97.783358245852938</v>
          </cell>
        </row>
        <row r="35">
          <cell r="A35" t="str">
            <v>보은</v>
          </cell>
          <cell r="B35" t="str">
            <v>5급</v>
          </cell>
          <cell r="C35">
            <v>95.701517859393533</v>
          </cell>
          <cell r="D35">
            <v>96.999133373067707</v>
          </cell>
          <cell r="E35">
            <v>96.972771971650218</v>
          </cell>
          <cell r="F35">
            <v>96.146259431069794</v>
          </cell>
          <cell r="G35">
            <v>96.422299020608023</v>
          </cell>
          <cell r="H35">
            <v>95.443376240278894</v>
          </cell>
          <cell r="I35">
            <v>96.595312500000006</v>
          </cell>
          <cell r="J35">
            <v>97.799284512230642</v>
          </cell>
          <cell r="K35">
            <v>97.5</v>
          </cell>
          <cell r="L35">
            <v>94.189414419144356</v>
          </cell>
          <cell r="M35">
            <v>95.752605524653248</v>
          </cell>
          <cell r="N35">
            <v>95.568532131213942</v>
          </cell>
          <cell r="O35">
            <v>97.173720221794696</v>
          </cell>
          <cell r="P35">
            <v>96.532657573790388</v>
          </cell>
          <cell r="Q35">
            <v>97.18529288888891</v>
          </cell>
          <cell r="R35">
            <v>99.24368170394736</v>
          </cell>
          <cell r="S35">
            <v>93.963344040633189</v>
          </cell>
          <cell r="T35">
            <v>99.25</v>
          </cell>
          <cell r="U35">
            <v>93.546666666666667</v>
          </cell>
          <cell r="V35">
            <v>96.42307578954356</v>
          </cell>
          <cell r="W35">
            <v>97.19799006158712</v>
          </cell>
          <cell r="X35">
            <v>96.577378065124975</v>
          </cell>
          <cell r="Y35">
            <v>97.391740407500023</v>
          </cell>
          <cell r="Z35">
            <v>99.999999999999986</v>
          </cell>
          <cell r="AA35">
            <v>95.648161517500014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5년-지역별(광역_기초)"/>
      <sheetName val="2015년_총괄국별_지역별"/>
      <sheetName val="2015년(기초만)"/>
      <sheetName val="정리"/>
      <sheetName val="대전"/>
    </sheetNames>
    <sheetDataSet>
      <sheetData sheetId="0"/>
      <sheetData sheetId="1"/>
      <sheetData sheetId="2"/>
      <sheetData sheetId="3">
        <row r="4">
          <cell r="A4" t="str">
            <v>2015년</v>
          </cell>
          <cell r="B4">
            <v>94.779166666666654</v>
          </cell>
          <cell r="C4">
            <v>96.607926829268351</v>
          </cell>
          <cell r="D4">
            <v>96.52286821705431</v>
          </cell>
          <cell r="E4">
            <v>93.760904255319218</v>
          </cell>
          <cell r="F4">
            <v>95.189203925845149</v>
          </cell>
          <cell r="G4">
            <v>94.545656081486015</v>
          </cell>
          <cell r="H4">
            <v>94.178584905660387</v>
          </cell>
          <cell r="I4">
            <v>95.572255192878416</v>
          </cell>
          <cell r="J4">
            <v>94.720299884659639</v>
          </cell>
          <cell r="K4">
            <v>94.521656050955357</v>
          </cell>
          <cell r="L4">
            <v>95.210280373831765</v>
          </cell>
          <cell r="M4">
            <v>94.696674584323034</v>
          </cell>
          <cell r="N4">
            <v>95.041309719933992</v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동_읍_면"/>
      <sheetName val="동_읍면"/>
      <sheetName val="지역별"/>
      <sheetName val="정리"/>
    </sheetNames>
    <sheetDataSet>
      <sheetData sheetId="0"/>
      <sheetData sheetId="1"/>
      <sheetData sheetId="2">
        <row r="3">
          <cell r="A3" t="str">
            <v>2014년</v>
          </cell>
        </row>
      </sheetData>
      <sheetData sheetId="3">
        <row r="3">
          <cell r="A3" t="str">
            <v>2014년</v>
          </cell>
          <cell r="B3">
            <v>93.911342281879172</v>
          </cell>
          <cell r="C3">
            <v>95.011189024390191</v>
          </cell>
          <cell r="D3">
            <v>94.336003531489027</v>
          </cell>
          <cell r="E3">
            <v>92.744115384615327</v>
          </cell>
          <cell r="F3">
            <v>94.957355996222859</v>
          </cell>
          <cell r="G3">
            <v>94.018624252310914</v>
          </cell>
          <cell r="H3">
            <v>94.03125</v>
          </cell>
          <cell r="I3">
            <v>96.422444889779584</v>
          </cell>
          <cell r="J3">
            <v>96.312715105162539</v>
          </cell>
          <cell r="K3">
            <v>93.139635258358652</v>
          </cell>
          <cell r="L3">
            <v>93.799818181818182</v>
          </cell>
          <cell r="M3">
            <v>93.305056947608207</v>
          </cell>
          <cell r="N3">
            <v>94.541337845909041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창구(2013년)"/>
      <sheetName val="창구(2013년)_행정구역별"/>
      <sheetName val="창구(2013년)_지역 (2)"/>
      <sheetName val="창구(2013년)_지역"/>
      <sheetName val="정리"/>
    </sheetNames>
    <sheetDataSet>
      <sheetData sheetId="0"/>
      <sheetData sheetId="1"/>
      <sheetData sheetId="2">
        <row r="4">
          <cell r="A4" t="str">
            <v>2013년</v>
          </cell>
        </row>
      </sheetData>
      <sheetData sheetId="3"/>
      <sheetData sheetId="4">
        <row r="4">
          <cell r="A4" t="str">
            <v>2013년</v>
          </cell>
          <cell r="B4">
            <v>94.532777777777795</v>
          </cell>
          <cell r="C4">
            <v>96.275564853556489</v>
          </cell>
          <cell r="D4">
            <v>96.192244355909708</v>
          </cell>
          <cell r="E4">
            <v>93.009290989660329</v>
          </cell>
          <cell r="F4">
            <v>95.049560975609737</v>
          </cell>
          <cell r="G4">
            <v>94.12687374749494</v>
          </cell>
          <cell r="H4">
            <v>93.362206673842763</v>
          </cell>
          <cell r="I4">
            <v>94.585307167235541</v>
          </cell>
          <cell r="J4">
            <v>93.835300330032879</v>
          </cell>
          <cell r="K4">
            <v>94.489153439153441</v>
          </cell>
          <cell r="L4">
            <v>96.749523809523808</v>
          </cell>
          <cell r="M4">
            <v>95.054246031746075</v>
          </cell>
          <cell r="N4">
            <v>94.462245456808461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배달부하량분석"/>
    </sheetNames>
    <sheetDataSet>
      <sheetData sheetId="0">
        <row r="2">
          <cell r="B2" t="str">
            <v>총괄국명</v>
          </cell>
          <cell r="C2" t="str">
            <v>관서급</v>
          </cell>
          <cell r="D2" t="str">
            <v>산출
근무
시간</v>
          </cell>
          <cell r="E2" t="str">
            <v>부하량</v>
          </cell>
          <cell r="F2" t="str">
            <v>여유인력분석(명)</v>
          </cell>
          <cell r="G2" t="str">
            <v>여유인력분석(명)</v>
          </cell>
          <cell r="H2" t="str">
            <v>여유인력분석(명)</v>
          </cell>
          <cell r="I2" t="str">
            <v>부하율</v>
          </cell>
        </row>
        <row r="3">
          <cell r="B3" t="str">
            <v>총괄국명</v>
          </cell>
          <cell r="D3" t="str">
            <v>산출
근무
시간</v>
          </cell>
          <cell r="E3" t="str">
            <v>부하량</v>
          </cell>
          <cell r="F3" t="str">
            <v>보유인원</v>
          </cell>
          <cell r="G3" t="str">
            <v>소요인원</v>
          </cell>
          <cell r="H3" t="str">
            <v>여유인력</v>
          </cell>
        </row>
        <row r="4">
          <cell r="B4" t="str">
            <v>총괄국명</v>
          </cell>
          <cell r="D4" t="str">
            <v>산출
근무
시간</v>
          </cell>
          <cell r="E4" t="str">
            <v>부하량</v>
          </cell>
          <cell r="F4" t="str">
            <v>보유인원</v>
          </cell>
          <cell r="G4" t="str">
            <v>소요인원</v>
          </cell>
          <cell r="H4" t="str">
            <v>여유인력</v>
          </cell>
        </row>
        <row r="5">
          <cell r="B5" t="str">
            <v>총괄국명</v>
          </cell>
          <cell r="D5" t="str">
            <v>산출
근무
시간</v>
          </cell>
          <cell r="E5" t="str">
            <v>부하량</v>
          </cell>
          <cell r="F5" t="str">
            <v>보유인원</v>
          </cell>
          <cell r="G5" t="str">
            <v>소요인원</v>
          </cell>
          <cell r="H5" t="str">
            <v>여유인력</v>
          </cell>
        </row>
        <row r="6">
          <cell r="B6" t="str">
            <v>대전</v>
          </cell>
          <cell r="C6" t="str">
            <v>4급</v>
          </cell>
          <cell r="D6">
            <v>620.97</v>
          </cell>
          <cell r="E6">
            <v>69</v>
          </cell>
          <cell r="F6">
            <v>66.900000000000006</v>
          </cell>
          <cell r="G6">
            <v>69</v>
          </cell>
          <cell r="H6">
            <v>-2.1</v>
          </cell>
          <cell r="I6">
            <v>103.13901345291478</v>
          </cell>
        </row>
        <row r="7">
          <cell r="B7" t="str">
            <v>서대전</v>
          </cell>
          <cell r="C7" t="str">
            <v>4급</v>
          </cell>
          <cell r="D7">
            <v>666.52</v>
          </cell>
          <cell r="E7">
            <v>74.099999999999994</v>
          </cell>
          <cell r="F7">
            <v>71.400000000000006</v>
          </cell>
          <cell r="G7">
            <v>74.099999999999994</v>
          </cell>
          <cell r="H7">
            <v>-2.7</v>
          </cell>
          <cell r="I7">
            <v>103.781512605042</v>
          </cell>
        </row>
        <row r="8">
          <cell r="B8" t="str">
            <v>대전유성</v>
          </cell>
          <cell r="C8" t="str">
            <v>4급</v>
          </cell>
          <cell r="D8">
            <v>864.38</v>
          </cell>
          <cell r="E8">
            <v>96</v>
          </cell>
          <cell r="F8">
            <v>78.900000000000006</v>
          </cell>
          <cell r="G8">
            <v>96</v>
          </cell>
          <cell r="H8">
            <v>-17.100000000000001</v>
          </cell>
          <cell r="I8">
            <v>121.67300380228137</v>
          </cell>
        </row>
        <row r="9">
          <cell r="B9" t="str">
            <v>대전대덕</v>
          </cell>
          <cell r="C9" t="str">
            <v>4급</v>
          </cell>
          <cell r="D9">
            <v>553.21</v>
          </cell>
          <cell r="E9">
            <v>61.5</v>
          </cell>
          <cell r="F9">
            <v>57.2</v>
          </cell>
          <cell r="G9">
            <v>61.5</v>
          </cell>
          <cell r="H9">
            <v>-4.3</v>
          </cell>
          <cell r="I9">
            <v>107.51748251748252</v>
          </cell>
        </row>
        <row r="10">
          <cell r="B10" t="str">
            <v>공주</v>
          </cell>
          <cell r="C10" t="str">
            <v>4급</v>
          </cell>
          <cell r="D10">
            <v>511.56</v>
          </cell>
          <cell r="E10">
            <v>56.9</v>
          </cell>
          <cell r="F10">
            <v>54.1</v>
          </cell>
          <cell r="G10">
            <v>56.9</v>
          </cell>
          <cell r="H10">
            <v>-2.8</v>
          </cell>
          <cell r="I10">
            <v>105.17560073937153</v>
          </cell>
        </row>
        <row r="11">
          <cell r="B11" t="str">
            <v>천안</v>
          </cell>
          <cell r="C11" t="str">
            <v>4급</v>
          </cell>
          <cell r="D11">
            <v>928.07</v>
          </cell>
          <cell r="E11">
            <v>103.2</v>
          </cell>
          <cell r="F11">
            <v>80.900000000000006</v>
          </cell>
          <cell r="G11">
            <v>103.2</v>
          </cell>
          <cell r="H11">
            <v>-22.3</v>
          </cell>
          <cell r="I11">
            <v>127.56489493201484</v>
          </cell>
        </row>
        <row r="12">
          <cell r="B12" t="str">
            <v>청주</v>
          </cell>
          <cell r="C12" t="str">
            <v>4급</v>
          </cell>
          <cell r="D12">
            <v>963.81</v>
          </cell>
          <cell r="E12">
            <v>107.2</v>
          </cell>
          <cell r="F12">
            <v>98.6</v>
          </cell>
          <cell r="G12">
            <v>107.2</v>
          </cell>
          <cell r="H12">
            <v>-8.6</v>
          </cell>
          <cell r="I12">
            <v>108.72210953346857</v>
          </cell>
        </row>
        <row r="13">
          <cell r="B13" t="str">
            <v>충주</v>
          </cell>
          <cell r="C13" t="str">
            <v>4급</v>
          </cell>
          <cell r="D13">
            <v>788.83</v>
          </cell>
          <cell r="E13">
            <v>87.6</v>
          </cell>
          <cell r="F13">
            <v>80</v>
          </cell>
          <cell r="G13">
            <v>87.6</v>
          </cell>
          <cell r="H13">
            <v>-7.6</v>
          </cell>
          <cell r="I13">
            <v>109.5</v>
          </cell>
        </row>
        <row r="14">
          <cell r="B14" t="str">
            <v>제천</v>
          </cell>
          <cell r="C14" t="str">
            <v>4급</v>
          </cell>
          <cell r="D14">
            <v>539.26</v>
          </cell>
          <cell r="E14">
            <v>59.9</v>
          </cell>
          <cell r="F14">
            <v>55.5</v>
          </cell>
          <cell r="G14">
            <v>59.9</v>
          </cell>
          <cell r="H14">
            <v>-4.4000000000000004</v>
          </cell>
          <cell r="I14">
            <v>107.92792792792794</v>
          </cell>
        </row>
        <row r="15">
          <cell r="B15" t="str">
            <v>논산</v>
          </cell>
          <cell r="C15" t="str">
            <v>4급</v>
          </cell>
          <cell r="D15">
            <v>635.33000000000004</v>
          </cell>
          <cell r="E15">
            <v>70.599999999999994</v>
          </cell>
          <cell r="F15">
            <v>69.099999999999994</v>
          </cell>
          <cell r="G15">
            <v>70.599999999999994</v>
          </cell>
          <cell r="H15">
            <v>-1.5</v>
          </cell>
          <cell r="I15">
            <v>102.17076700434153</v>
          </cell>
        </row>
        <row r="16">
          <cell r="B16" t="str">
            <v>아산</v>
          </cell>
          <cell r="C16" t="str">
            <v>4급</v>
          </cell>
          <cell r="D16">
            <v>987.94</v>
          </cell>
          <cell r="E16">
            <v>109.8</v>
          </cell>
          <cell r="F16">
            <v>91.7</v>
          </cell>
          <cell r="G16">
            <v>109.8</v>
          </cell>
          <cell r="H16">
            <v>-18.100000000000001</v>
          </cell>
          <cell r="I16">
            <v>119.73827699018538</v>
          </cell>
        </row>
        <row r="17">
          <cell r="B17" t="str">
            <v>세종</v>
          </cell>
          <cell r="C17" t="str">
            <v>4급</v>
          </cell>
          <cell r="D17">
            <v>674.22</v>
          </cell>
          <cell r="E17">
            <v>74.900000000000006</v>
          </cell>
          <cell r="F17">
            <v>65.5</v>
          </cell>
          <cell r="G17">
            <v>74.900000000000006</v>
          </cell>
          <cell r="H17">
            <v>-9.4</v>
          </cell>
          <cell r="I17">
            <v>114.35114503816794</v>
          </cell>
        </row>
        <row r="18">
          <cell r="B18" t="str">
            <v>대전둔산</v>
          </cell>
          <cell r="C18" t="str">
            <v>4급</v>
          </cell>
          <cell r="D18">
            <v>1281.03</v>
          </cell>
          <cell r="E18">
            <v>142.30000000000001</v>
          </cell>
          <cell r="F18">
            <v>129</v>
          </cell>
          <cell r="G18">
            <v>142.30000000000001</v>
          </cell>
          <cell r="H18">
            <v>-13.3</v>
          </cell>
          <cell r="I18">
            <v>110.31007751937985</v>
          </cell>
        </row>
        <row r="19">
          <cell r="B19" t="str">
            <v>서청주</v>
          </cell>
          <cell r="C19" t="str">
            <v>4급</v>
          </cell>
          <cell r="D19">
            <v>1328.88</v>
          </cell>
          <cell r="E19">
            <v>147.69999999999999</v>
          </cell>
          <cell r="F19">
            <v>127.2</v>
          </cell>
          <cell r="G19">
            <v>147.69999999999999</v>
          </cell>
          <cell r="H19">
            <v>-20.5</v>
          </cell>
          <cell r="I19">
            <v>116.11635220125784</v>
          </cell>
        </row>
        <row r="20">
          <cell r="B20" t="str">
            <v>동천안</v>
          </cell>
          <cell r="C20" t="str">
            <v>4급</v>
          </cell>
          <cell r="D20">
            <v>783.27</v>
          </cell>
          <cell r="E20">
            <v>87</v>
          </cell>
          <cell r="F20">
            <v>75.900000000000006</v>
          </cell>
          <cell r="G20">
            <v>87</v>
          </cell>
          <cell r="H20">
            <v>-11.1</v>
          </cell>
          <cell r="I20">
            <v>114.62450592885374</v>
          </cell>
        </row>
        <row r="21">
          <cell r="B21" t="str">
            <v>서산</v>
          </cell>
          <cell r="C21" t="str">
            <v>4급</v>
          </cell>
          <cell r="D21">
            <v>656.86</v>
          </cell>
          <cell r="E21">
            <v>73.099999999999994</v>
          </cell>
          <cell r="F21">
            <v>66.599999999999994</v>
          </cell>
          <cell r="G21">
            <v>73.099999999999994</v>
          </cell>
          <cell r="H21">
            <v>-6.5</v>
          </cell>
          <cell r="I21">
            <v>109.75975975975976</v>
          </cell>
        </row>
        <row r="22">
          <cell r="B22" t="str">
            <v>금산</v>
          </cell>
          <cell r="C22" t="str">
            <v>5급</v>
          </cell>
          <cell r="D22">
            <v>286.95999999999998</v>
          </cell>
          <cell r="E22">
            <v>31.9</v>
          </cell>
          <cell r="F22">
            <v>31</v>
          </cell>
          <cell r="G22">
            <v>31.9</v>
          </cell>
          <cell r="H22">
            <v>-0.9</v>
          </cell>
          <cell r="I22">
            <v>102.90322580645162</v>
          </cell>
        </row>
        <row r="23">
          <cell r="B23" t="str">
            <v>부여</v>
          </cell>
          <cell r="C23" t="str">
            <v>5급</v>
          </cell>
          <cell r="D23">
            <v>359.64</v>
          </cell>
          <cell r="E23">
            <v>40</v>
          </cell>
          <cell r="F23">
            <v>41</v>
          </cell>
          <cell r="G23">
            <v>40</v>
          </cell>
          <cell r="H23">
            <v>1</v>
          </cell>
          <cell r="I23">
            <v>97.560975609756099</v>
          </cell>
        </row>
        <row r="24">
          <cell r="B24" t="str">
            <v>서천</v>
          </cell>
          <cell r="C24" t="str">
            <v>5급</v>
          </cell>
          <cell r="D24">
            <v>317.8</v>
          </cell>
          <cell r="E24">
            <v>35.299999999999997</v>
          </cell>
          <cell r="F24">
            <v>36</v>
          </cell>
          <cell r="G24">
            <v>35.299999999999997</v>
          </cell>
          <cell r="H24">
            <v>0.7</v>
          </cell>
          <cell r="I24">
            <v>98.055555555555557</v>
          </cell>
        </row>
        <row r="25">
          <cell r="B25" t="str">
            <v>예산</v>
          </cell>
          <cell r="C25" t="str">
            <v>5급</v>
          </cell>
          <cell r="D25">
            <v>455.53</v>
          </cell>
          <cell r="E25">
            <v>50.6</v>
          </cell>
          <cell r="F25">
            <v>49.8</v>
          </cell>
          <cell r="G25">
            <v>50.6</v>
          </cell>
          <cell r="H25">
            <v>-0.8</v>
          </cell>
          <cell r="I25">
            <v>101.60642570281124</v>
          </cell>
        </row>
        <row r="26">
          <cell r="B26" t="str">
            <v>당진</v>
          </cell>
          <cell r="C26" t="str">
            <v>5급</v>
          </cell>
          <cell r="D26">
            <v>703.23</v>
          </cell>
          <cell r="E26">
            <v>78.099999999999994</v>
          </cell>
          <cell r="F26">
            <v>68.8</v>
          </cell>
          <cell r="G26">
            <v>78.099999999999994</v>
          </cell>
          <cell r="H26">
            <v>-9.3000000000000007</v>
          </cell>
          <cell r="I26">
            <v>113.51744186046511</v>
          </cell>
        </row>
        <row r="27">
          <cell r="B27" t="str">
            <v>청양</v>
          </cell>
          <cell r="C27" t="str">
            <v>5급</v>
          </cell>
          <cell r="D27">
            <v>217.22</v>
          </cell>
          <cell r="E27">
            <v>24.1</v>
          </cell>
          <cell r="F27">
            <v>24.7</v>
          </cell>
          <cell r="G27">
            <v>24.1</v>
          </cell>
          <cell r="H27">
            <v>0.6</v>
          </cell>
          <cell r="I27">
            <v>97.570850202429156</v>
          </cell>
        </row>
        <row r="28">
          <cell r="B28" t="str">
            <v>홍성</v>
          </cell>
          <cell r="C28" t="str">
            <v>5급</v>
          </cell>
          <cell r="D28">
            <v>472.37</v>
          </cell>
          <cell r="E28">
            <v>52.5</v>
          </cell>
          <cell r="F28">
            <v>48.2</v>
          </cell>
          <cell r="G28">
            <v>52.5</v>
          </cell>
          <cell r="H28">
            <v>-4.3</v>
          </cell>
          <cell r="I28">
            <v>108.92116182572613</v>
          </cell>
        </row>
        <row r="29">
          <cell r="B29" t="str">
            <v>보령</v>
          </cell>
          <cell r="C29" t="str">
            <v>5급</v>
          </cell>
          <cell r="D29">
            <v>438.94</v>
          </cell>
          <cell r="E29">
            <v>48.8</v>
          </cell>
          <cell r="F29">
            <v>46.8</v>
          </cell>
          <cell r="G29">
            <v>48.8</v>
          </cell>
          <cell r="H29">
            <v>-2</v>
          </cell>
          <cell r="I29">
            <v>104.27350427350429</v>
          </cell>
        </row>
        <row r="30">
          <cell r="B30" t="str">
            <v>태안</v>
          </cell>
          <cell r="C30" t="str">
            <v>5급</v>
          </cell>
          <cell r="D30">
            <v>332.9</v>
          </cell>
          <cell r="E30">
            <v>37</v>
          </cell>
          <cell r="F30">
            <v>35.1</v>
          </cell>
          <cell r="G30">
            <v>37</v>
          </cell>
          <cell r="H30">
            <v>-1.9</v>
          </cell>
          <cell r="I30">
            <v>105.4131054131054</v>
          </cell>
        </row>
        <row r="31">
          <cell r="B31" t="str">
            <v>진천</v>
          </cell>
          <cell r="C31" t="str">
            <v>5급</v>
          </cell>
          <cell r="D31">
            <v>306.82</v>
          </cell>
          <cell r="E31">
            <v>34.1</v>
          </cell>
          <cell r="F31">
            <v>29.4</v>
          </cell>
          <cell r="G31">
            <v>34.1</v>
          </cell>
          <cell r="H31">
            <v>-4.7</v>
          </cell>
          <cell r="I31">
            <v>115.98639455782313</v>
          </cell>
        </row>
        <row r="32">
          <cell r="B32" t="str">
            <v>괴산</v>
          </cell>
          <cell r="C32" t="str">
            <v>5급</v>
          </cell>
          <cell r="D32">
            <v>372.93</v>
          </cell>
          <cell r="E32">
            <v>41.5</v>
          </cell>
          <cell r="F32">
            <v>39.4</v>
          </cell>
          <cell r="G32">
            <v>41.5</v>
          </cell>
          <cell r="H32">
            <v>-2.1</v>
          </cell>
          <cell r="I32">
            <v>105.32994923857868</v>
          </cell>
        </row>
        <row r="33">
          <cell r="B33" t="str">
            <v>음성</v>
          </cell>
          <cell r="C33" t="str">
            <v>5급</v>
          </cell>
          <cell r="D33">
            <v>456.14</v>
          </cell>
          <cell r="E33">
            <v>50.7</v>
          </cell>
          <cell r="F33">
            <v>44.6</v>
          </cell>
          <cell r="G33">
            <v>50.7</v>
          </cell>
          <cell r="H33">
            <v>-6.1</v>
          </cell>
          <cell r="I33">
            <v>113.67713004484305</v>
          </cell>
        </row>
        <row r="34">
          <cell r="B34" t="str">
            <v>영동</v>
          </cell>
          <cell r="C34" t="str">
            <v>5급</v>
          </cell>
          <cell r="D34">
            <v>304.61</v>
          </cell>
          <cell r="E34">
            <v>33.799999999999997</v>
          </cell>
          <cell r="F34">
            <v>33.700000000000003</v>
          </cell>
          <cell r="G34">
            <v>33.799999999999997</v>
          </cell>
          <cell r="H34">
            <v>-0.1</v>
          </cell>
          <cell r="I34">
            <v>100.29673590504449</v>
          </cell>
        </row>
        <row r="35">
          <cell r="B35" t="str">
            <v>옥천</v>
          </cell>
          <cell r="C35" t="str">
            <v>5급</v>
          </cell>
          <cell r="D35">
            <v>240.71</v>
          </cell>
          <cell r="E35">
            <v>26.8</v>
          </cell>
          <cell r="F35">
            <v>27.4</v>
          </cell>
          <cell r="G35">
            <v>26.8</v>
          </cell>
          <cell r="H35">
            <v>0.6</v>
          </cell>
          <cell r="I35">
            <v>97.810218978102199</v>
          </cell>
        </row>
        <row r="36">
          <cell r="B36" t="str">
            <v>보은</v>
          </cell>
          <cell r="C36" t="str">
            <v>5급</v>
          </cell>
          <cell r="D36">
            <v>165.78</v>
          </cell>
          <cell r="E36">
            <v>18.399999999999999</v>
          </cell>
          <cell r="F36">
            <v>20.3</v>
          </cell>
          <cell r="G36">
            <v>18.399999999999999</v>
          </cell>
          <cell r="H36">
            <v>1.9</v>
          </cell>
          <cell r="I36">
            <v>90.640394088669936</v>
          </cell>
        </row>
        <row r="37">
          <cell r="B37" t="str">
            <v>단양</v>
          </cell>
          <cell r="C37" t="str">
            <v>5급</v>
          </cell>
          <cell r="D37">
            <v>166.5</v>
          </cell>
          <cell r="E37">
            <v>18.5</v>
          </cell>
          <cell r="F37">
            <v>19.3</v>
          </cell>
          <cell r="G37">
            <v>18.5</v>
          </cell>
          <cell r="H37">
            <v>0.8</v>
          </cell>
          <cell r="I37">
            <v>95.854922279792746</v>
          </cell>
        </row>
        <row r="38">
          <cell r="D38">
            <v>18360.400000000001</v>
          </cell>
          <cell r="E38">
            <v>2040.4</v>
          </cell>
          <cell r="F38">
            <v>1896.6</v>
          </cell>
          <cell r="G38">
            <v>2040.4</v>
          </cell>
          <cell r="H38">
            <v>-178.9</v>
          </cell>
          <cell r="I38">
            <v>107.58198882210273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9"/>
  <sheetViews>
    <sheetView tabSelected="1" zoomScaleNormal="100" workbookViewId="0">
      <selection sqref="A1:K1"/>
    </sheetView>
  </sheetViews>
  <sheetFormatPr defaultRowHeight="24.95" customHeight="1"/>
  <cols>
    <col min="1" max="1" width="13.625" style="216" bestFit="1" customWidth="1"/>
    <col min="2" max="3" width="9" style="216"/>
    <col min="4" max="7" width="9.625" style="215" customWidth="1"/>
    <col min="8" max="8" width="9.625" style="252" customWidth="1"/>
    <col min="9" max="10" width="9.625" style="216" customWidth="1"/>
    <col min="11" max="11" width="11.125" style="490" customWidth="1"/>
    <col min="12" max="12" width="3.5" style="215" customWidth="1"/>
    <col min="13" max="16384" width="9" style="215"/>
  </cols>
  <sheetData>
    <row r="1" spans="1:13" ht="42.75" customHeight="1">
      <c r="A1" s="547" t="s">
        <v>445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</row>
    <row r="2" spans="1:13" ht="24.95" customHeight="1" thickBot="1">
      <c r="K2" s="488"/>
    </row>
    <row r="3" spans="1:13" ht="24.95" customHeight="1" thickBot="1">
      <c r="A3" s="548" t="s">
        <v>456</v>
      </c>
      <c r="B3" s="550" t="s">
        <v>284</v>
      </c>
      <c r="C3" s="550" t="s">
        <v>338</v>
      </c>
      <c r="D3" s="550" t="s">
        <v>296</v>
      </c>
      <c r="E3" s="550"/>
      <c r="F3" s="550"/>
      <c r="G3" s="550"/>
      <c r="H3" s="550" t="s">
        <v>314</v>
      </c>
      <c r="I3" s="550"/>
      <c r="J3" s="550"/>
      <c r="K3" s="552"/>
    </row>
    <row r="4" spans="1:13" ht="24.95" customHeight="1">
      <c r="A4" s="549"/>
      <c r="B4" s="551"/>
      <c r="C4" s="551"/>
      <c r="D4" s="285" t="s">
        <v>278</v>
      </c>
      <c r="E4" s="285" t="s">
        <v>312</v>
      </c>
      <c r="F4" s="285" t="s">
        <v>286</v>
      </c>
      <c r="G4" s="285" t="s">
        <v>290</v>
      </c>
      <c r="H4" s="285" t="s">
        <v>286</v>
      </c>
      <c r="I4" s="285" t="s">
        <v>290</v>
      </c>
      <c r="J4" s="290" t="s">
        <v>422</v>
      </c>
      <c r="K4" s="491" t="s">
        <v>376</v>
      </c>
    </row>
    <row r="5" spans="1:13" ht="24.95" customHeight="1">
      <c r="A5" s="412" t="s">
        <v>2</v>
      </c>
      <c r="B5" s="466" t="s">
        <v>280</v>
      </c>
      <c r="C5" s="466" t="s">
        <v>342</v>
      </c>
      <c r="D5" s="276">
        <f>VLOOKUP($A5,연도별!$A$2:$K$36,3,0)</f>
        <v>93.534345876808629</v>
      </c>
      <c r="E5" s="276">
        <f>VLOOKUP($A5,연도별!$A$2:$K$36,4,0)</f>
        <v>93.924277269474544</v>
      </c>
      <c r="F5" s="276">
        <f>VLOOKUP($A5,연도별!$A$2:$K$36,6,0)</f>
        <v>93.608385093167669</v>
      </c>
      <c r="G5" s="276">
        <f>VLOOKUP($A5,연도별!$A$2:$K$36,10,0)</f>
        <v>93.653251263620874</v>
      </c>
      <c r="H5" s="233">
        <f>VLOOKUP($A5,'목표(창구)'!$A$11:$AB$42,28,0)</f>
        <v>93.8</v>
      </c>
      <c r="I5" s="276">
        <f>VLOOKUP($A5,'목표(집배)'!$A$3:$L$37,9,0)</f>
        <v>94.8</v>
      </c>
      <c r="J5" s="277">
        <f>(H5*0.5+I5*0.5)*0.99</f>
        <v>93.356999999999999</v>
      </c>
      <c r="K5" s="408">
        <f>ROUNDUP(AVERAGE($J$5:$J$9),1)</f>
        <v>93.399999999999991</v>
      </c>
    </row>
    <row r="6" spans="1:13" ht="24.95" customHeight="1">
      <c r="A6" s="412" t="s">
        <v>4</v>
      </c>
      <c r="B6" s="466" t="s">
        <v>280</v>
      </c>
      <c r="C6" s="466" t="s">
        <v>342</v>
      </c>
      <c r="D6" s="276">
        <f>VLOOKUP($A6,연도별!$A$2:$K$36,3,0)</f>
        <v>92.076079277817001</v>
      </c>
      <c r="E6" s="276">
        <f>VLOOKUP($A6,연도별!$A$2:$K$36,4,0)</f>
        <v>95.519869022300057</v>
      </c>
      <c r="F6" s="276">
        <f>VLOOKUP($A6,연도별!$A$2:$K$36,6,0)</f>
        <v>93.620039249083604</v>
      </c>
      <c r="G6" s="276">
        <f>VLOOKUP($A6,연도별!$A$2:$K$36,10,0)</f>
        <v>96.94810606102179</v>
      </c>
      <c r="H6" s="233">
        <f>VLOOKUP($A6,'목표(창구)'!$A$11:$AB$42,28,0)</f>
        <v>93.8</v>
      </c>
      <c r="I6" s="276">
        <f>VLOOKUP($A6,'목표(집배)'!$A$3:$L$37,9,0)</f>
        <v>94.8</v>
      </c>
      <c r="J6" s="277">
        <f t="shared" ref="J6:J36" si="0">(H6*0.5+I6*0.5)*0.99</f>
        <v>93.356999999999999</v>
      </c>
      <c r="K6" s="408">
        <f>ROUNDUP(AVERAGE($J$5:$J$9),1)</f>
        <v>93.399999999999991</v>
      </c>
    </row>
    <row r="7" spans="1:13" ht="24.95" customHeight="1">
      <c r="A7" s="412" t="s">
        <v>0</v>
      </c>
      <c r="B7" s="466" t="s">
        <v>280</v>
      </c>
      <c r="C7" s="466" t="s">
        <v>342</v>
      </c>
      <c r="D7" s="276">
        <f>VLOOKUP($A7,연도별!$A$2:$K$36,3,0)</f>
        <v>93.311679207099658</v>
      </c>
      <c r="E7" s="276">
        <f>VLOOKUP($A7,연도별!$A$2:$K$36,4,0)</f>
        <v>95.638326321983982</v>
      </c>
      <c r="F7" s="276">
        <f>VLOOKUP($A7,연도별!$A$2:$K$36,6,0)</f>
        <v>94.819162205583311</v>
      </c>
      <c r="G7" s="276">
        <f>VLOOKUP($A7,연도별!$A$2:$K$36,10,0)</f>
        <v>96.103630051225068</v>
      </c>
      <c r="H7" s="233">
        <f>VLOOKUP($A7,'목표(창구)'!$A$11:$AB$42,28,0)</f>
        <v>93.8</v>
      </c>
      <c r="I7" s="276">
        <f>VLOOKUP($A7,'목표(집배)'!$A$3:$L$37,9,0)</f>
        <v>94.8</v>
      </c>
      <c r="J7" s="277">
        <f t="shared" si="0"/>
        <v>93.356999999999999</v>
      </c>
      <c r="K7" s="408">
        <f>ROUNDUP(AVERAGE($J$5:$J$9),1)</f>
        <v>93.399999999999991</v>
      </c>
    </row>
    <row r="8" spans="1:13" ht="24.95" customHeight="1">
      <c r="A8" s="412" t="s">
        <v>1</v>
      </c>
      <c r="B8" s="466" t="s">
        <v>280</v>
      </c>
      <c r="C8" s="466" t="s">
        <v>342</v>
      </c>
      <c r="D8" s="276">
        <f>VLOOKUP($A8,연도별!$A$2:$K$36,3,0)</f>
        <v>92.858965354330678</v>
      </c>
      <c r="E8" s="276">
        <f>VLOOKUP($A8,연도별!$A$2:$K$36,4,0)</f>
        <v>95.30045259795348</v>
      </c>
      <c r="F8" s="276">
        <f>VLOOKUP($A8,연도별!$A$2:$K$36,6,0)</f>
        <v>93.616139240506314</v>
      </c>
      <c r="G8" s="276">
        <f>VLOOKUP($A8,연도별!$A$2:$K$36,10,0)</f>
        <v>96.54270833413257</v>
      </c>
      <c r="H8" s="233">
        <f>VLOOKUP($A8,'목표(창구)'!$A$11:$AB$42,28,0)</f>
        <v>93.8</v>
      </c>
      <c r="I8" s="276">
        <f>VLOOKUP($A8,'목표(집배)'!$A$3:$L$37,9,0)</f>
        <v>94.8</v>
      </c>
      <c r="J8" s="277">
        <f t="shared" si="0"/>
        <v>93.356999999999999</v>
      </c>
      <c r="K8" s="408">
        <f>ROUNDUP(AVERAGE($J$5:$J$9),1)</f>
        <v>93.399999999999991</v>
      </c>
    </row>
    <row r="9" spans="1:13" ht="24.95" customHeight="1">
      <c r="A9" s="412" t="s">
        <v>3</v>
      </c>
      <c r="B9" s="466" t="s">
        <v>280</v>
      </c>
      <c r="C9" s="466" t="s">
        <v>342</v>
      </c>
      <c r="D9" s="276">
        <f>VLOOKUP($A9,연도별!$A$2:$K$36,3,0)</f>
        <v>92.778211667058173</v>
      </c>
      <c r="E9" s="276">
        <f>VLOOKUP($A9,연도별!$A$2:$K$36,4,0)</f>
        <v>95.621019441037745</v>
      </c>
      <c r="F9" s="276">
        <f>VLOOKUP($A9,연도별!$A$2:$K$36,6,0)</f>
        <v>94.527127916331438</v>
      </c>
      <c r="G9" s="276">
        <f>VLOOKUP($A9,연도별!$A$2:$K$36,10,0)</f>
        <v>96.50659722269539</v>
      </c>
      <c r="H9" s="233">
        <f>VLOOKUP($A9,'목표(창구)'!$A$11:$AB$42,28,0)</f>
        <v>93.8</v>
      </c>
      <c r="I9" s="276">
        <f>VLOOKUP($A9,'목표(집배)'!$A$3:$L$37,9,0)</f>
        <v>94.8</v>
      </c>
      <c r="J9" s="277">
        <f t="shared" si="0"/>
        <v>93.356999999999999</v>
      </c>
      <c r="K9" s="408">
        <f>ROUNDUP(AVERAGE($J$5:$J$9),1)</f>
        <v>93.399999999999991</v>
      </c>
    </row>
    <row r="10" spans="1:13" ht="24.95" customHeight="1">
      <c r="A10" s="478" t="s">
        <v>5</v>
      </c>
      <c r="B10" s="467" t="s">
        <v>280</v>
      </c>
      <c r="C10" s="467" t="s">
        <v>343</v>
      </c>
      <c r="D10" s="479">
        <f>VLOOKUP($A10,연도별!$A$2:$K$36,3,0)</f>
        <v>92.531359623709847</v>
      </c>
      <c r="E10" s="479">
        <f>VLOOKUP($A10,연도별!$A$2:$K$36,4,0)</f>
        <v>94.906361573991731</v>
      </c>
      <c r="F10" s="479">
        <f>VLOOKUP($A10,연도별!$A$2:$K$36,6,0)</f>
        <v>93.871051611653016</v>
      </c>
      <c r="G10" s="479">
        <f>VLOOKUP($A10,연도별!$A$2:$K$36,10,0)</f>
        <v>95.489709596750615</v>
      </c>
      <c r="H10" s="468">
        <f>VLOOKUP($A10,'목표(창구)'!$A$11:$AB$42,28,0)</f>
        <v>94.399999999999991</v>
      </c>
      <c r="I10" s="479">
        <f>VLOOKUP($A10,'목표(집배)'!$A$3:$L$37,9,0)</f>
        <v>94.8</v>
      </c>
      <c r="J10" s="480">
        <f t="shared" si="0"/>
        <v>93.653999999999996</v>
      </c>
      <c r="K10" s="481">
        <f>ROUNDUP(AVERAGE($J$10:$J$15),1)</f>
        <v>93.699999999999989</v>
      </c>
    </row>
    <row r="11" spans="1:13" ht="24.95" customHeight="1">
      <c r="A11" s="478" t="s">
        <v>12</v>
      </c>
      <c r="B11" s="467" t="s">
        <v>280</v>
      </c>
      <c r="C11" s="467" t="s">
        <v>343</v>
      </c>
      <c r="D11" s="479">
        <f>VLOOKUP($A11,연도별!$A$2:$K$36,3,0)</f>
        <v>93.127835276033281</v>
      </c>
      <c r="E11" s="479">
        <f>VLOOKUP($A11,연도별!$A$2:$K$36,4,0)</f>
        <v>95.426797100156037</v>
      </c>
      <c r="F11" s="479">
        <f>VLOOKUP($A11,연도별!$A$2:$K$36,6,0)</f>
        <v>94.777070515449836</v>
      </c>
      <c r="G11" s="479">
        <f>VLOOKUP($A11,연도별!$A$2:$K$36,10,0)</f>
        <v>95.731976011194419</v>
      </c>
      <c r="H11" s="468">
        <f>VLOOKUP($A11,'목표(창구)'!$A$11:$AB$42,28,0)</f>
        <v>94.399999999999991</v>
      </c>
      <c r="I11" s="479">
        <f>VLOOKUP($A11,'목표(집배)'!$A$3:$L$37,9,0)</f>
        <v>94.8</v>
      </c>
      <c r="J11" s="480">
        <f t="shared" si="0"/>
        <v>93.653999999999996</v>
      </c>
      <c r="K11" s="481">
        <f t="shared" ref="K11:K15" si="1">ROUNDUP(AVERAGE($J$10:$J$15),1)</f>
        <v>93.699999999999989</v>
      </c>
    </row>
    <row r="12" spans="1:13" ht="24.95" customHeight="1">
      <c r="A12" s="478" t="s">
        <v>8</v>
      </c>
      <c r="B12" s="467" t="s">
        <v>280</v>
      </c>
      <c r="C12" s="467" t="s">
        <v>343</v>
      </c>
      <c r="D12" s="479">
        <f>VLOOKUP($A12,연도별!$A$2:$K$36,3,0)</f>
        <v>93.366279142045755</v>
      </c>
      <c r="E12" s="479">
        <f>VLOOKUP($A12,연도별!$A$2:$K$36,4,0)</f>
        <v>94.46436171960562</v>
      </c>
      <c r="F12" s="479">
        <f>VLOOKUP($A12,연도별!$A$2:$K$36,6,0)</f>
        <v>93.899840793602138</v>
      </c>
      <c r="G12" s="479">
        <f>VLOOKUP($A12,연도별!$A$2:$K$36,10,0)</f>
        <v>94.688289142409715</v>
      </c>
      <c r="H12" s="468">
        <f>VLOOKUP($A12,'목표(창구)'!$A$11:$AB$42,28,0)</f>
        <v>94.399999999999991</v>
      </c>
      <c r="I12" s="479">
        <f>VLOOKUP($A12,'목표(집배)'!$A$3:$L$37,9,0)</f>
        <v>94.8</v>
      </c>
      <c r="J12" s="480">
        <f t="shared" si="0"/>
        <v>93.653999999999996</v>
      </c>
      <c r="K12" s="481">
        <f t="shared" si="1"/>
        <v>93.699999999999989</v>
      </c>
    </row>
    <row r="13" spans="1:13" ht="24.95" customHeight="1">
      <c r="A13" s="478" t="s">
        <v>7</v>
      </c>
      <c r="B13" s="467" t="s">
        <v>280</v>
      </c>
      <c r="C13" s="467" t="s">
        <v>343</v>
      </c>
      <c r="D13" s="479">
        <f>VLOOKUP($A13,연도별!$A$2:$K$36,3,0)</f>
        <v>93.947698359771579</v>
      </c>
      <c r="E13" s="479">
        <f>VLOOKUP($A13,연도별!$A$2:$K$36,4,0)</f>
        <v>94.407836393756412</v>
      </c>
      <c r="F13" s="479">
        <f>VLOOKUP($A13,연도별!$A$2:$K$36,6,0)</f>
        <v>94.161830936573921</v>
      </c>
      <c r="G13" s="479">
        <f>VLOOKUP($A13,연도별!$A$2:$K$36,10,0)</f>
        <v>94.191508839755357</v>
      </c>
      <c r="H13" s="468">
        <f>VLOOKUP($A13,'목표(창구)'!$A$11:$AB$42,28,0)</f>
        <v>94.399999999999991</v>
      </c>
      <c r="I13" s="479">
        <f>VLOOKUP($A13,'목표(집배)'!$A$3:$L$37,9,0)</f>
        <v>94.8</v>
      </c>
      <c r="J13" s="480">
        <f t="shared" si="0"/>
        <v>93.653999999999996</v>
      </c>
      <c r="K13" s="481">
        <f t="shared" si="1"/>
        <v>93.699999999999989</v>
      </c>
    </row>
    <row r="14" spans="1:13" ht="24.95" customHeight="1">
      <c r="A14" s="478" t="s">
        <v>13</v>
      </c>
      <c r="B14" s="467" t="s">
        <v>280</v>
      </c>
      <c r="C14" s="467" t="s">
        <v>343</v>
      </c>
      <c r="D14" s="479">
        <f>VLOOKUP($A14,연도별!$A$2:$K$36,3,0)</f>
        <v>94.036741287973499</v>
      </c>
      <c r="E14" s="479">
        <f>VLOOKUP($A14,연도별!$A$2:$K$36,4,0)</f>
        <v>95.380964052438969</v>
      </c>
      <c r="F14" s="479">
        <f>VLOOKUP($A14,연도별!$A$2:$K$36,6,0)</f>
        <v>94.394281045751626</v>
      </c>
      <c r="G14" s="479">
        <f>VLOOKUP($A14,연도별!$A$2:$K$36,10,0)</f>
        <v>96.291959064646193</v>
      </c>
      <c r="H14" s="468">
        <f>VLOOKUP($A14,'목표(창구)'!$A$11:$AB$42,28,0)</f>
        <v>94.399999999999991</v>
      </c>
      <c r="I14" s="479">
        <f>VLOOKUP($A14,'목표(집배)'!$A$3:$L$37,9,0)</f>
        <v>94.8</v>
      </c>
      <c r="J14" s="480">
        <f t="shared" si="0"/>
        <v>93.653999999999996</v>
      </c>
      <c r="K14" s="481">
        <f t="shared" si="1"/>
        <v>93.699999999999989</v>
      </c>
    </row>
    <row r="15" spans="1:13" ht="24.95" customHeight="1">
      <c r="A15" s="478" t="s">
        <v>11</v>
      </c>
      <c r="B15" s="467" t="s">
        <v>280</v>
      </c>
      <c r="C15" s="467" t="s">
        <v>343</v>
      </c>
      <c r="D15" s="479">
        <f>VLOOKUP($A15,연도별!$A$2:$K$36,3,0)</f>
        <v>93.54505468250133</v>
      </c>
      <c r="E15" s="479">
        <f>VLOOKUP($A15,연도별!$A$2:$K$36,4,0)</f>
        <v>96.344324677046458</v>
      </c>
      <c r="F15" s="479">
        <f>VLOOKUP($A15,연도별!$A$2:$K$36,6,0)</f>
        <v>94.860940375010955</v>
      </c>
      <c r="G15" s="479">
        <f>VLOOKUP($A15,연도별!$A$2:$K$36,10,0)</f>
        <v>97.485006313507881</v>
      </c>
      <c r="H15" s="468">
        <f>VLOOKUP($A15,'목표(창구)'!$A$11:$AB$42,28,0)</f>
        <v>94.899999999999991</v>
      </c>
      <c r="I15" s="479">
        <f>VLOOKUP($A15,'목표(집배)'!$A$3:$L$37,9,0)</f>
        <v>94.8</v>
      </c>
      <c r="J15" s="480">
        <f t="shared" si="0"/>
        <v>93.901499999999999</v>
      </c>
      <c r="K15" s="481">
        <f t="shared" si="1"/>
        <v>93.699999999999989</v>
      </c>
      <c r="M15" s="537"/>
    </row>
    <row r="16" spans="1:13" ht="24.95" customHeight="1">
      <c r="A16" s="414" t="s">
        <v>10</v>
      </c>
      <c r="B16" s="278" t="s">
        <v>280</v>
      </c>
      <c r="C16" s="278" t="s">
        <v>344</v>
      </c>
      <c r="D16" s="279">
        <f>VLOOKUP($A16,연도별!$A$2:$K$36,3,0)</f>
        <v>94.074063592198399</v>
      </c>
      <c r="E16" s="279">
        <f>VLOOKUP($A16,연도별!$A$2:$K$36,4,0)</f>
        <v>96.092395063176156</v>
      </c>
      <c r="F16" s="279">
        <f>VLOOKUP($A16,연도별!$A$2:$K$36,6,0)</f>
        <v>95.066668367952261</v>
      </c>
      <c r="G16" s="279">
        <f>VLOOKUP($A16,연도별!$A$2:$K$36,10,0)</f>
        <v>96.812058080839634</v>
      </c>
      <c r="H16" s="281">
        <f>VLOOKUP($A16,'목표(창구)'!$A$11:$AB$42,28,0)</f>
        <v>94.399999999999991</v>
      </c>
      <c r="I16" s="279">
        <f>VLOOKUP($A16,'목표(집배)'!$A$3:$L$37,9,0)</f>
        <v>95.6</v>
      </c>
      <c r="J16" s="280">
        <f t="shared" si="0"/>
        <v>94.05</v>
      </c>
      <c r="K16" s="410">
        <f>ROUNDUP(AVERAGE($J$16:$J$22),1)</f>
        <v>94.3</v>
      </c>
      <c r="M16" s="537"/>
    </row>
    <row r="17" spans="1:11" ht="24.95" customHeight="1">
      <c r="A17" s="414" t="s">
        <v>6</v>
      </c>
      <c r="B17" s="278" t="s">
        <v>280</v>
      </c>
      <c r="C17" s="278" t="s">
        <v>344</v>
      </c>
      <c r="D17" s="279">
        <f>VLOOKUP($A17,연도별!$A$2:$K$36,3,0)</f>
        <v>94.07</v>
      </c>
      <c r="E17" s="279">
        <f>VLOOKUP($A17,연도별!$A$2:$K$36,4,0)</f>
        <v>95.923016361142075</v>
      </c>
      <c r="F17" s="279">
        <f>VLOOKUP($A17,연도별!$A$2:$K$36,6,0)</f>
        <v>95.063278063655389</v>
      </c>
      <c r="G17" s="279">
        <f>VLOOKUP($A17,연도별!$A$2:$K$36,10,0)</f>
        <v>96.35359848611742</v>
      </c>
      <c r="H17" s="281">
        <f>VLOOKUP($A17,'목표(창구)'!$A$11:$AB$42,28,0)</f>
        <v>94.899999999999991</v>
      </c>
      <c r="I17" s="279">
        <f>VLOOKUP($A17,'목표(집배)'!$A$3:$L$37,9,0)</f>
        <v>95.6</v>
      </c>
      <c r="J17" s="280">
        <f t="shared" si="0"/>
        <v>94.297499999999999</v>
      </c>
      <c r="K17" s="410">
        <f t="shared" ref="K17:K22" si="2">ROUNDUP(AVERAGE($J$16:$J$22),1)</f>
        <v>94.3</v>
      </c>
    </row>
    <row r="18" spans="1:11" ht="24.95" customHeight="1">
      <c r="A18" s="414" t="s">
        <v>9</v>
      </c>
      <c r="B18" s="278" t="s">
        <v>280</v>
      </c>
      <c r="C18" s="278" t="s">
        <v>344</v>
      </c>
      <c r="D18" s="279">
        <f>VLOOKUP($A18,연도별!$A$2:$K$36,3,0)</f>
        <v>94.074063592198399</v>
      </c>
      <c r="E18" s="279">
        <f>VLOOKUP($A18,연도별!$A$2:$K$36,4,0)</f>
        <v>96.066275648606492</v>
      </c>
      <c r="F18" s="279">
        <f>VLOOKUP($A18,연도별!$A$2:$K$36,6,0)</f>
        <v>94.589680525504534</v>
      </c>
      <c r="G18" s="279">
        <f>VLOOKUP($A18,연도별!$A$2:$K$36,10,0)</f>
        <v>97.213005050509139</v>
      </c>
      <c r="H18" s="281">
        <f>VLOOKUP($A18,'목표(창구)'!$A$11:$AB$42,28,0)</f>
        <v>94.899999999999991</v>
      </c>
      <c r="I18" s="279">
        <f>VLOOKUP($A18,'목표(집배)'!$A$3:$L$37,9,0)</f>
        <v>95.6</v>
      </c>
      <c r="J18" s="280">
        <f t="shared" si="0"/>
        <v>94.297499999999999</v>
      </c>
      <c r="K18" s="410">
        <f t="shared" si="2"/>
        <v>94.3</v>
      </c>
    </row>
    <row r="19" spans="1:11" ht="24.95" customHeight="1">
      <c r="A19" s="414" t="s">
        <v>23</v>
      </c>
      <c r="B19" s="278" t="s">
        <v>280</v>
      </c>
      <c r="C19" s="278" t="s">
        <v>344</v>
      </c>
      <c r="D19" s="279">
        <f>VLOOKUP($A19,연도별!$A$2:$K$36,3,0)</f>
        <v>94.469224195144022</v>
      </c>
      <c r="E19" s="279">
        <f>VLOOKUP($A19,연도별!$A$2:$K$36,4,0)</f>
        <v>95.63244805341273</v>
      </c>
      <c r="F19" s="279">
        <f>VLOOKUP($A19,연도별!$A$2:$K$36,6,0)</f>
        <v>94.725767831501628</v>
      </c>
      <c r="G19" s="279">
        <f>VLOOKUP($A19,연도별!$A$2:$K$36,10,0)</f>
        <v>96.237280701998884</v>
      </c>
      <c r="H19" s="281">
        <f>VLOOKUP($A19,'목표(창구)'!$A$11:$AB$42,28,0)</f>
        <v>94.899999999999991</v>
      </c>
      <c r="I19" s="279">
        <f>VLOOKUP($A19,'목표(집배)'!$A$3:$L$37,9,0)</f>
        <v>95.6</v>
      </c>
      <c r="J19" s="280">
        <f t="shared" si="0"/>
        <v>94.297499999999999</v>
      </c>
      <c r="K19" s="410">
        <f t="shared" si="2"/>
        <v>94.3</v>
      </c>
    </row>
    <row r="20" spans="1:11" ht="24.95" customHeight="1">
      <c r="A20" s="414" t="s">
        <v>17</v>
      </c>
      <c r="B20" s="278" t="s">
        <v>280</v>
      </c>
      <c r="C20" s="278" t="s">
        <v>344</v>
      </c>
      <c r="D20" s="279">
        <f>VLOOKUP($A20,연도별!$A$2:$K$36,3,0)</f>
        <v>94.058535432791032</v>
      </c>
      <c r="E20" s="279">
        <f>VLOOKUP($A20,연도별!$A$2:$K$36,4,0)</f>
        <v>95.783561458477848</v>
      </c>
      <c r="F20" s="279">
        <f>VLOOKUP($A20,연도별!$A$2:$K$36,6,0)</f>
        <v>94.687888888888892</v>
      </c>
      <c r="G20" s="279">
        <f>VLOOKUP($A20,연도별!$A$2:$K$36,10,0)</f>
        <v>96.803819444748711</v>
      </c>
      <c r="H20" s="281">
        <f>VLOOKUP($A20,'목표(창구)'!$A$11:$AB$42,28,0)</f>
        <v>94.899999999999991</v>
      </c>
      <c r="I20" s="279">
        <f>VLOOKUP($A20,'목표(집배)'!$A$3:$L$37,9,0)</f>
        <v>95.6</v>
      </c>
      <c r="J20" s="280">
        <f t="shared" si="0"/>
        <v>94.297499999999999</v>
      </c>
      <c r="K20" s="410">
        <f t="shared" si="2"/>
        <v>94.3</v>
      </c>
    </row>
    <row r="21" spans="1:11" ht="24.95" customHeight="1">
      <c r="A21" s="414" t="s">
        <v>19</v>
      </c>
      <c r="B21" s="278" t="s">
        <v>282</v>
      </c>
      <c r="C21" s="278" t="s">
        <v>344</v>
      </c>
      <c r="D21" s="279">
        <f>VLOOKUP($A21,연도별!$A$2:$K$36,3,0)</f>
        <v>93.413245756062736</v>
      </c>
      <c r="E21" s="279">
        <f>VLOOKUP($A21,연도별!$A$2:$K$36,4,0)</f>
        <v>95.195787536887551</v>
      </c>
      <c r="F21" s="279">
        <f>VLOOKUP($A21,연도별!$A$2:$K$36,6,0)</f>
        <v>94.46331400671346</v>
      </c>
      <c r="G21" s="279">
        <f>VLOOKUP($A21,연도별!$A$2:$K$36,10,0)</f>
        <v>95.633080807786612</v>
      </c>
      <c r="H21" s="281">
        <f>VLOOKUP($A21,'목표(창구)'!$A$11:$AB$42,28,0)</f>
        <v>94.899999999999991</v>
      </c>
      <c r="I21" s="279">
        <f>VLOOKUP($A21,'목표(집배)'!$A$3:$L$37,9,0)</f>
        <v>95.6</v>
      </c>
      <c r="J21" s="280">
        <f t="shared" si="0"/>
        <v>94.297499999999999</v>
      </c>
      <c r="K21" s="410">
        <f t="shared" si="2"/>
        <v>94.3</v>
      </c>
    </row>
    <row r="22" spans="1:11" ht="24.95" customHeight="1">
      <c r="A22" s="414" t="s">
        <v>22</v>
      </c>
      <c r="B22" s="278" t="s">
        <v>282</v>
      </c>
      <c r="C22" s="278" t="s">
        <v>344</v>
      </c>
      <c r="D22" s="279">
        <f>VLOOKUP($A22,연도별!$A$2:$K$36,3,0)</f>
        <v>94.840296371253686</v>
      </c>
      <c r="E22" s="279">
        <f>VLOOKUP($A22,연도별!$A$2:$K$36,4,0)</f>
        <v>97.495952169332412</v>
      </c>
      <c r="F22" s="279">
        <f>VLOOKUP($A22,연도별!$A$2:$K$36,6,0)</f>
        <v>96.426774193548383</v>
      </c>
      <c r="G22" s="279">
        <f>VLOOKUP($A22,연도별!$A$2:$K$36,10,0)</f>
        <v>98.42786195241456</v>
      </c>
      <c r="H22" s="281">
        <f>VLOOKUP($A22,'목표(창구)'!$A$11:$AB$42,28,0)</f>
        <v>94.899999999999991</v>
      </c>
      <c r="I22" s="279">
        <f>VLOOKUP($A22,'목표(집배)'!$A$3:$L$37,9,0)</f>
        <v>95.6</v>
      </c>
      <c r="J22" s="280">
        <f t="shared" si="0"/>
        <v>94.297499999999999</v>
      </c>
      <c r="K22" s="410">
        <f t="shared" si="2"/>
        <v>94.3</v>
      </c>
    </row>
    <row r="23" spans="1:11" ht="24.95" customHeight="1">
      <c r="A23" s="413" t="s">
        <v>27</v>
      </c>
      <c r="B23" s="232" t="s">
        <v>282</v>
      </c>
      <c r="C23" s="232" t="s">
        <v>345</v>
      </c>
      <c r="D23" s="274">
        <f>VLOOKUP($A23,연도별!$A$2:$K$36,3,0)</f>
        <v>94.164888874498729</v>
      </c>
      <c r="E23" s="274">
        <f>VLOOKUP($A23,연도별!$A$2:$K$36,4,0)</f>
        <v>95.38640601312963</v>
      </c>
      <c r="F23" s="274">
        <f>VLOOKUP($A23,연도별!$A$2:$K$36,6,0)</f>
        <v>95.240934065934056</v>
      </c>
      <c r="G23" s="274">
        <f>VLOOKUP($A23,연도별!$A$2:$K$36,10,0)</f>
        <v>95.488341751180968</v>
      </c>
      <c r="H23" s="239">
        <f>VLOOKUP($A23,'목표(창구)'!$A$11:$AB$42,28,0)</f>
        <v>95.6</v>
      </c>
      <c r="I23" s="274">
        <f>VLOOKUP($A23,'목표(집배)'!$A$3:$L$37,9,0)</f>
        <v>95.6</v>
      </c>
      <c r="J23" s="275">
        <f t="shared" si="0"/>
        <v>94.643999999999991</v>
      </c>
      <c r="K23" s="409">
        <f>ROUNDUP(AVERAGE($J$23:$J$24),1)</f>
        <v>94.699999999999989</v>
      </c>
    </row>
    <row r="24" spans="1:11" ht="24.95" customHeight="1">
      <c r="A24" s="413" t="s">
        <v>29</v>
      </c>
      <c r="B24" s="232" t="s">
        <v>282</v>
      </c>
      <c r="C24" s="232" t="s">
        <v>345</v>
      </c>
      <c r="D24" s="274">
        <f>VLOOKUP($A24,연도별!$A$2:$K$36,3,0)</f>
        <v>94.889039719383476</v>
      </c>
      <c r="E24" s="274">
        <f>VLOOKUP($A24,연도별!$A$2:$K$36,4,0)</f>
        <v>96.568427162825387</v>
      </c>
      <c r="F24" s="274">
        <f>VLOOKUP($A24,연도별!$A$2:$K$36,6,0)</f>
        <v>96.363200370808983</v>
      </c>
      <c r="G24" s="274">
        <f>VLOOKUP($A24,연도별!$A$2:$K$36,10,0)</f>
        <v>96.465067340402342</v>
      </c>
      <c r="H24" s="239">
        <f>VLOOKUP($A24,'목표(창구)'!$A$11:$AB$42,28,0)</f>
        <v>95.6</v>
      </c>
      <c r="I24" s="274">
        <f>VLOOKUP($A24,'목표(집배)'!$A$3:$L$37,9,0)</f>
        <v>95.6</v>
      </c>
      <c r="J24" s="275">
        <f t="shared" si="0"/>
        <v>94.643999999999991</v>
      </c>
      <c r="K24" s="409">
        <f>ROUNDUP(AVERAGE($J$23:$J$24),1)</f>
        <v>94.699999999999989</v>
      </c>
    </row>
    <row r="25" spans="1:11" ht="24.95" customHeight="1">
      <c r="A25" s="474" t="s">
        <v>15</v>
      </c>
      <c r="B25" s="231" t="s">
        <v>282</v>
      </c>
      <c r="C25" s="231" t="s">
        <v>346</v>
      </c>
      <c r="D25" s="475">
        <f>VLOOKUP($A25,연도별!$A$2:$K$36,3,0)</f>
        <v>95.142559940341329</v>
      </c>
      <c r="E25" s="475">
        <f>VLOOKUP($A25,연도별!$A$2:$K$36,4,0)</f>
        <v>96.580064665102668</v>
      </c>
      <c r="F25" s="475">
        <f>VLOOKUP($A25,연도별!$A$2:$K$36,6,0)</f>
        <v>95.518005621277879</v>
      </c>
      <c r="G25" s="475">
        <f>VLOOKUP($A25,연도별!$A$2:$K$36,10,0)</f>
        <v>97.640025252622479</v>
      </c>
      <c r="H25" s="240">
        <f>VLOOKUP($A25,'목표(창구)'!$A$11:$AB$42,28,0)</f>
        <v>95.6</v>
      </c>
      <c r="I25" s="475">
        <f>VLOOKUP($A25,'목표(집배)'!$A$3:$L$37,9,0)</f>
        <v>96.6</v>
      </c>
      <c r="J25" s="476">
        <f t="shared" si="0"/>
        <v>95.138999999999996</v>
      </c>
      <c r="K25" s="477">
        <f>ROUNDUP(AVERAGE($J$25:$J$36),1)</f>
        <v>95.199999999999989</v>
      </c>
    </row>
    <row r="26" spans="1:11" ht="24.95" customHeight="1">
      <c r="A26" s="474" t="s">
        <v>14</v>
      </c>
      <c r="B26" s="231" t="s">
        <v>282</v>
      </c>
      <c r="C26" s="231" t="s">
        <v>346</v>
      </c>
      <c r="D26" s="475">
        <f>VLOOKUP($A26,연도별!$A$2:$K$36,3,0)</f>
        <v>95.103710238890187</v>
      </c>
      <c r="E26" s="475">
        <f>VLOOKUP($A26,연도별!$A$2:$K$36,4,0)</f>
        <v>95.870986667813995</v>
      </c>
      <c r="F26" s="475">
        <f>VLOOKUP($A26,연도별!$A$2:$K$36,6,0)</f>
        <v>95.672241557102353</v>
      </c>
      <c r="G26" s="475">
        <f>VLOOKUP($A26,연도별!$A$2:$K$36,10,0)</f>
        <v>95.740361954085017</v>
      </c>
      <c r="H26" s="240">
        <f>VLOOKUP($A26,'목표(창구)'!$A$11:$AB$42,28,0)</f>
        <v>95.6</v>
      </c>
      <c r="I26" s="475">
        <f>VLOOKUP($A26,'목표(집배)'!$A$3:$L$37,9,0)</f>
        <v>96.6</v>
      </c>
      <c r="J26" s="476">
        <f t="shared" si="0"/>
        <v>95.138999999999996</v>
      </c>
      <c r="K26" s="477">
        <f t="shared" ref="K26:K36" si="3">ROUNDUP(AVERAGE($J$25:$J$36),1)</f>
        <v>95.199999999999989</v>
      </c>
    </row>
    <row r="27" spans="1:11" ht="24.95" customHeight="1">
      <c r="A27" s="474" t="s">
        <v>16</v>
      </c>
      <c r="B27" s="231" t="s">
        <v>282</v>
      </c>
      <c r="C27" s="231" t="s">
        <v>346</v>
      </c>
      <c r="D27" s="475">
        <f>VLOOKUP($A27,연도별!$A$2:$K$36,3,0)</f>
        <v>95.713559513887063</v>
      </c>
      <c r="E27" s="475">
        <f>VLOOKUP($A27,연도별!$A$2:$K$36,4,0)</f>
        <v>96.726754759203502</v>
      </c>
      <c r="F27" s="475">
        <f>VLOOKUP($A27,연도별!$A$2:$K$36,6,0)</f>
        <v>95.176461375310382</v>
      </c>
      <c r="G27" s="475">
        <f>VLOOKUP($A27,연도별!$A$2:$K$36,10,0)</f>
        <v>98.121969696696965</v>
      </c>
      <c r="H27" s="240">
        <f>VLOOKUP($A27,'목표(창구)'!$A$11:$AB$42,28,0)</f>
        <v>95.6</v>
      </c>
      <c r="I27" s="475">
        <f>VLOOKUP($A27,'목표(집배)'!$A$3:$L$37,9,0)</f>
        <v>96.6</v>
      </c>
      <c r="J27" s="476">
        <f t="shared" si="0"/>
        <v>95.138999999999996</v>
      </c>
      <c r="K27" s="477">
        <f t="shared" si="3"/>
        <v>95.199999999999989</v>
      </c>
    </row>
    <row r="28" spans="1:11" ht="24.95" customHeight="1">
      <c r="A28" s="474" t="s">
        <v>18</v>
      </c>
      <c r="B28" s="231" t="s">
        <v>282</v>
      </c>
      <c r="C28" s="231" t="s">
        <v>346</v>
      </c>
      <c r="D28" s="475">
        <f>VLOOKUP($A28,연도별!$A$2:$K$36,3,0)</f>
        <v>94.955502887868505</v>
      </c>
      <c r="E28" s="475">
        <f>VLOOKUP($A28,연도별!$A$2:$K$36,4,0)</f>
        <v>96.718841923525858</v>
      </c>
      <c r="F28" s="475">
        <f>VLOOKUP($A28,연도별!$A$2:$K$36,6,0)</f>
        <v>95.7071069554747</v>
      </c>
      <c r="G28" s="475">
        <f>VLOOKUP($A28,연도별!$A$2:$K$36,10,0)</f>
        <v>98.069402357211288</v>
      </c>
      <c r="H28" s="240">
        <f>VLOOKUP($A28,'목표(창구)'!$A$11:$AB$42,28,0)</f>
        <v>95.6</v>
      </c>
      <c r="I28" s="475">
        <f>VLOOKUP($A28,'목표(집배)'!$A$3:$L$37,9,0)</f>
        <v>96.6</v>
      </c>
      <c r="J28" s="476">
        <f t="shared" si="0"/>
        <v>95.138999999999996</v>
      </c>
      <c r="K28" s="477">
        <f t="shared" si="3"/>
        <v>95.199999999999989</v>
      </c>
    </row>
    <row r="29" spans="1:11" ht="24.95" customHeight="1">
      <c r="A29" s="474" t="s">
        <v>20</v>
      </c>
      <c r="B29" s="231" t="s">
        <v>282</v>
      </c>
      <c r="C29" s="231" t="s">
        <v>346</v>
      </c>
      <c r="D29" s="475">
        <f>VLOOKUP($A29,연도별!$A$2:$K$36,3,0)</f>
        <v>95.713559513887063</v>
      </c>
      <c r="E29" s="475">
        <f>VLOOKUP($A29,연도별!$A$2:$K$36,4,0)</f>
        <v>97.634190867048133</v>
      </c>
      <c r="F29" s="475">
        <f>VLOOKUP($A29,연도별!$A$2:$K$36,6,0)</f>
        <v>96.961403508771923</v>
      </c>
      <c r="G29" s="475">
        <f>VLOOKUP($A29,연도별!$A$2:$K$36,10,0)</f>
        <v>98.278998316592578</v>
      </c>
      <c r="H29" s="240">
        <f>VLOOKUP($A29,'목표(창구)'!$A$11:$AB$42,28,0)</f>
        <v>95.6</v>
      </c>
      <c r="I29" s="475">
        <f>VLOOKUP($A29,'목표(집배)'!$A$3:$L$37,9,0)</f>
        <v>96.6</v>
      </c>
      <c r="J29" s="476">
        <f t="shared" si="0"/>
        <v>95.138999999999996</v>
      </c>
      <c r="K29" s="477">
        <f t="shared" si="3"/>
        <v>95.199999999999989</v>
      </c>
    </row>
    <row r="30" spans="1:11" ht="24.95" customHeight="1">
      <c r="A30" s="474" t="s">
        <v>21</v>
      </c>
      <c r="B30" s="231" t="s">
        <v>282</v>
      </c>
      <c r="C30" s="231" t="s">
        <v>346</v>
      </c>
      <c r="D30" s="475">
        <f>VLOOKUP($A30,연도별!$A$2:$K$36,3,0)</f>
        <v>95.713559513887063</v>
      </c>
      <c r="E30" s="475">
        <f>VLOOKUP($A30,연도별!$A$2:$K$36,4,0)</f>
        <v>98.118951796830885</v>
      </c>
      <c r="F30" s="475">
        <f>VLOOKUP($A30,연도별!$A$2:$K$36,6,0)</f>
        <v>97.115855457227127</v>
      </c>
      <c r="G30" s="475">
        <f>VLOOKUP($A30,연도별!$A$2:$K$36,10,0)</f>
        <v>99.197727272943169</v>
      </c>
      <c r="H30" s="240">
        <f>VLOOKUP($A30,'목표(창구)'!$A$11:$AB$42,28,0)</f>
        <v>95.6</v>
      </c>
      <c r="I30" s="475">
        <f>VLOOKUP($A30,'목표(집배)'!$A$3:$L$37,9,0)</f>
        <v>96.6</v>
      </c>
      <c r="J30" s="476">
        <f t="shared" si="0"/>
        <v>95.138999999999996</v>
      </c>
      <c r="K30" s="477">
        <f t="shared" si="3"/>
        <v>95.199999999999989</v>
      </c>
    </row>
    <row r="31" spans="1:11" ht="24.95" customHeight="1">
      <c r="A31" s="474" t="s">
        <v>24</v>
      </c>
      <c r="B31" s="231" t="s">
        <v>282</v>
      </c>
      <c r="C31" s="231" t="s">
        <v>346</v>
      </c>
      <c r="D31" s="475">
        <f>VLOOKUP($A31,연도별!$A$2:$K$36,3,0)</f>
        <v>95.605273693387431</v>
      </c>
      <c r="E31" s="475">
        <f>VLOOKUP($A31,연도별!$A$2:$K$36,4,0)</f>
        <v>95.995061001777174</v>
      </c>
      <c r="F31" s="475">
        <f>VLOOKUP($A31,연도별!$A$2:$K$36,6,0)</f>
        <v>95.548278787597042</v>
      </c>
      <c r="G31" s="475">
        <f>VLOOKUP($A31,연도별!$A$2:$K$36,10,0)</f>
        <v>96.157112795091749</v>
      </c>
      <c r="H31" s="240">
        <f>VLOOKUP($A31,'목표(창구)'!$A$11:$AB$42,28,0)</f>
        <v>95.6</v>
      </c>
      <c r="I31" s="475">
        <f>VLOOKUP($A31,'목표(집배)'!$A$3:$L$37,9,0)</f>
        <v>96.6</v>
      </c>
      <c r="J31" s="476">
        <f t="shared" si="0"/>
        <v>95.138999999999996</v>
      </c>
      <c r="K31" s="477">
        <f t="shared" si="3"/>
        <v>95.199999999999989</v>
      </c>
    </row>
    <row r="32" spans="1:11" ht="24.95" customHeight="1">
      <c r="A32" s="474" t="s">
        <v>25</v>
      </c>
      <c r="B32" s="231" t="s">
        <v>282</v>
      </c>
      <c r="C32" s="231" t="s">
        <v>346</v>
      </c>
      <c r="D32" s="475">
        <f>VLOOKUP($A32,연도별!$A$2:$K$36,3,0)</f>
        <v>95.057682782449334</v>
      </c>
      <c r="E32" s="475">
        <f>VLOOKUP($A32,연도별!$A$2:$K$36,4,0)</f>
        <v>97.292959806436684</v>
      </c>
      <c r="F32" s="475">
        <f>VLOOKUP($A32,연도별!$A$2:$K$36,6,0)</f>
        <v>96.831818181818178</v>
      </c>
      <c r="G32" s="475">
        <f>VLOOKUP($A32,연도별!$A$2:$K$36,10,0)</f>
        <v>97.469149831732736</v>
      </c>
      <c r="H32" s="240">
        <f>VLOOKUP($A32,'목표(창구)'!$A$11:$AB$42,28,0)</f>
        <v>95.6</v>
      </c>
      <c r="I32" s="475">
        <f>VLOOKUP($A32,'목표(집배)'!$A$3:$L$37,9,0)</f>
        <v>96.6</v>
      </c>
      <c r="J32" s="476">
        <f t="shared" si="0"/>
        <v>95.138999999999996</v>
      </c>
      <c r="K32" s="477">
        <f t="shared" si="3"/>
        <v>95.199999999999989</v>
      </c>
    </row>
    <row r="33" spans="1:11" ht="24.95" customHeight="1">
      <c r="A33" s="474" t="s">
        <v>26</v>
      </c>
      <c r="B33" s="231" t="s">
        <v>282</v>
      </c>
      <c r="C33" s="231" t="s">
        <v>346</v>
      </c>
      <c r="D33" s="475">
        <f>VLOOKUP($A33,연도별!$A$2:$K$36,3,0)</f>
        <v>95.376523675943275</v>
      </c>
      <c r="E33" s="475">
        <f>VLOOKUP($A33,연도별!$A$2:$K$36,4,0)</f>
        <v>96.400918344126936</v>
      </c>
      <c r="F33" s="475">
        <f>VLOOKUP($A33,연도별!$A$2:$K$36,6,0)</f>
        <v>96.80257352941176</v>
      </c>
      <c r="G33" s="475">
        <f>VLOOKUP($A33,연도별!$A$2:$K$36,10,0)</f>
        <v>95.620412458223882</v>
      </c>
      <c r="H33" s="240">
        <f>VLOOKUP($A33,'목표(창구)'!$A$11:$AB$42,28,0)</f>
        <v>95.6</v>
      </c>
      <c r="I33" s="475">
        <f>VLOOKUP($A33,'목표(집배)'!$A$3:$L$37,9,0)</f>
        <v>96.6</v>
      </c>
      <c r="J33" s="476">
        <f t="shared" si="0"/>
        <v>95.138999999999996</v>
      </c>
      <c r="K33" s="477">
        <f t="shared" si="3"/>
        <v>95.199999999999989</v>
      </c>
    </row>
    <row r="34" spans="1:11" ht="24.95" customHeight="1">
      <c r="A34" s="474" t="s">
        <v>28</v>
      </c>
      <c r="B34" s="231" t="s">
        <v>282</v>
      </c>
      <c r="C34" s="231" t="s">
        <v>346</v>
      </c>
      <c r="D34" s="475">
        <f>VLOOKUP($A34,연도별!$A$2:$K$36,3,0)</f>
        <v>94.35136791254898</v>
      </c>
      <c r="E34" s="475">
        <f>VLOOKUP($A34,연도별!$A$2:$K$36,4,0)</f>
        <v>96.431003935533766</v>
      </c>
      <c r="F34" s="475">
        <f>VLOOKUP($A34,연도별!$A$2:$K$36,6,0)</f>
        <v>96.330502702219832</v>
      </c>
      <c r="G34" s="475">
        <f>VLOOKUP($A34,연도별!$A$2:$K$36,10,0)</f>
        <v>96.32424242521968</v>
      </c>
      <c r="H34" s="240">
        <f>VLOOKUP($A34,'목표(창구)'!$A$11:$AB$42,28,0)</f>
        <v>95.6</v>
      </c>
      <c r="I34" s="475">
        <f>VLOOKUP($A34,'목표(집배)'!$A$3:$L$37,9,0)</f>
        <v>96.6</v>
      </c>
      <c r="J34" s="476">
        <f t="shared" si="0"/>
        <v>95.138999999999996</v>
      </c>
      <c r="K34" s="477">
        <f t="shared" si="3"/>
        <v>95.199999999999989</v>
      </c>
    </row>
    <row r="35" spans="1:11" ht="24.95" customHeight="1">
      <c r="A35" s="474" t="s">
        <v>30</v>
      </c>
      <c r="B35" s="231" t="s">
        <v>282</v>
      </c>
      <c r="C35" s="231" t="s">
        <v>346</v>
      </c>
      <c r="D35" s="475">
        <f>VLOOKUP($A35,연도별!$A$2:$K$36,3,0)</f>
        <v>95.713559513887063</v>
      </c>
      <c r="E35" s="475">
        <f>VLOOKUP($A35,연도별!$A$2:$K$36,4,0)</f>
        <v>96.778287168214533</v>
      </c>
      <c r="F35" s="475">
        <f>VLOOKUP($A35,연도별!$A$2:$K$36,6,0)</f>
        <v>96.153996376313017</v>
      </c>
      <c r="G35" s="475">
        <f>VLOOKUP($A35,연도별!$A$2:$K$36,10,0)</f>
        <v>97.105555556770213</v>
      </c>
      <c r="H35" s="240">
        <f>VLOOKUP($A35,'목표(창구)'!$A$11:$AB$42,28,0)</f>
        <v>95.6</v>
      </c>
      <c r="I35" s="475">
        <f>VLOOKUP($A35,'목표(집배)'!$A$3:$L$37,9,0)</f>
        <v>96.6</v>
      </c>
      <c r="J35" s="476">
        <f t="shared" si="0"/>
        <v>95.138999999999996</v>
      </c>
      <c r="K35" s="477">
        <f t="shared" si="3"/>
        <v>95.199999999999989</v>
      </c>
    </row>
    <row r="36" spans="1:11" ht="24.95" customHeight="1">
      <c r="A36" s="474" t="s">
        <v>31</v>
      </c>
      <c r="B36" s="231" t="s">
        <v>282</v>
      </c>
      <c r="C36" s="231" t="s">
        <v>346</v>
      </c>
      <c r="D36" s="475">
        <f>VLOOKUP($A36,연도별!$A$2:$K$36,3,0)</f>
        <v>95.701517859393533</v>
      </c>
      <c r="E36" s="475">
        <f>VLOOKUP($A36,연도별!$A$2:$K$36,4,0)</f>
        <v>96.999133373067707</v>
      </c>
      <c r="F36" s="475">
        <f>VLOOKUP($A36,연도별!$A$2:$K$36,6,0)</f>
        <v>96.146259431069794</v>
      </c>
      <c r="G36" s="475">
        <f>VLOOKUP($A36,연도별!$A$2:$K$36,10,0)</f>
        <v>97.799284512230642</v>
      </c>
      <c r="H36" s="240">
        <f>VLOOKUP($A36,'목표(창구)'!$A$11:$AB$42,28,0)</f>
        <v>95.6</v>
      </c>
      <c r="I36" s="475">
        <f>VLOOKUP($A36,'목표(집배)'!$A$3:$L$37,9,0)</f>
        <v>96.6</v>
      </c>
      <c r="J36" s="476">
        <f t="shared" si="0"/>
        <v>95.138999999999996</v>
      </c>
      <c r="K36" s="477">
        <f t="shared" si="3"/>
        <v>95.199999999999989</v>
      </c>
    </row>
    <row r="37" spans="1:11" ht="24.95" customHeight="1" thickBot="1">
      <c r="A37" s="415" t="s">
        <v>313</v>
      </c>
      <c r="B37" s="416"/>
      <c r="C37" s="416"/>
      <c r="D37" s="417">
        <f>AVERAGE(D5:D36)</f>
        <v>94.291124510470326</v>
      </c>
      <c r="E37" s="417">
        <f t="shared" ref="E37:H37" si="4">AVERAGE(E5:E36)</f>
        <v>96.019562935794298</v>
      </c>
      <c r="F37" s="417">
        <f t="shared" si="4"/>
        <v>95.210871211900468</v>
      </c>
      <c r="G37" s="417">
        <f t="shared" si="4"/>
        <v>96.580971810824352</v>
      </c>
      <c r="H37" s="417">
        <f t="shared" si="4"/>
        <v>94.940624999999983</v>
      </c>
      <c r="I37" s="418">
        <f t="shared" ref="I37" si="5">AVERAGE(I5:I36)</f>
        <v>95.699999999999932</v>
      </c>
      <c r="J37" s="419">
        <f t="shared" ref="J37" si="6">AVERAGE(J5:J36)</f>
        <v>94.367109375000013</v>
      </c>
      <c r="K37" s="411">
        <f>AVERAGE(K5:K36)</f>
        <v>94.40937499999994</v>
      </c>
    </row>
    <row r="39" spans="1:11" ht="24.95" customHeight="1">
      <c r="J39" s="451"/>
      <c r="K39" s="489"/>
    </row>
  </sheetData>
  <autoFilter ref="A4:J37">
    <filterColumn colId="2"/>
  </autoFilter>
  <sortState ref="A5:K36">
    <sortCondition ref="J5:J36"/>
  </sortState>
  <mergeCells count="6">
    <mergeCell ref="A1:K1"/>
    <mergeCell ref="A3:A4"/>
    <mergeCell ref="B3:B4"/>
    <mergeCell ref="C3:C4"/>
    <mergeCell ref="D3:G3"/>
    <mergeCell ref="H3:K3"/>
  </mergeCells>
  <phoneticPr fontId="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7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2"/>
  <sheetViews>
    <sheetView view="pageBreakPreview" zoomScaleNormal="100" zoomScaleSheetLayoutView="100" workbookViewId="0">
      <selection sqref="A1:K1"/>
    </sheetView>
  </sheetViews>
  <sheetFormatPr defaultRowHeight="24.95" customHeight="1"/>
  <cols>
    <col min="1" max="1" width="13.625" style="216" bestFit="1" customWidth="1"/>
    <col min="2" max="2" width="9" style="216"/>
    <col min="3" max="6" width="9.875" style="215" bestFit="1" customWidth="1"/>
    <col min="7" max="7" width="11.25" style="216" bestFit="1" customWidth="1"/>
    <col min="8" max="9" width="9.25" style="215" bestFit="1" customWidth="1"/>
    <col min="10" max="10" width="12.75" style="215" bestFit="1" customWidth="1"/>
    <col min="11" max="11" width="10.875" style="215" bestFit="1" customWidth="1"/>
    <col min="12" max="12" width="2.625" style="215" customWidth="1"/>
    <col min="13" max="15" width="7.5" style="221" bestFit="1" customWidth="1"/>
    <col min="16" max="17" width="9.5" style="216" bestFit="1" customWidth="1"/>
    <col min="18" max="16384" width="9" style="215"/>
  </cols>
  <sheetData>
    <row r="1" spans="1:17" ht="42.75" customHeight="1">
      <c r="A1" s="547" t="s">
        <v>445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</row>
    <row r="2" spans="1:17" ht="24.95" customHeight="1" thickBot="1"/>
    <row r="3" spans="1:17" ht="24.95" customHeight="1" thickTop="1">
      <c r="A3" s="558" t="s">
        <v>299</v>
      </c>
      <c r="B3" s="551" t="s">
        <v>284</v>
      </c>
      <c r="C3" s="551" t="s">
        <v>296</v>
      </c>
      <c r="D3" s="551"/>
      <c r="E3" s="551"/>
      <c r="F3" s="551"/>
      <c r="G3" s="555" t="s">
        <v>457</v>
      </c>
      <c r="H3" s="557" t="s">
        <v>339</v>
      </c>
      <c r="I3" s="551"/>
      <c r="J3" s="554" t="s">
        <v>347</v>
      </c>
      <c r="K3" s="554" t="s">
        <v>432</v>
      </c>
      <c r="M3" s="553" t="s">
        <v>433</v>
      </c>
      <c r="N3" s="553"/>
      <c r="O3" s="553"/>
      <c r="P3" s="553"/>
      <c r="Q3" s="553"/>
    </row>
    <row r="4" spans="1:17" ht="24.95" customHeight="1">
      <c r="A4" s="558"/>
      <c r="B4" s="551"/>
      <c r="C4" s="420" t="s">
        <v>278</v>
      </c>
      <c r="D4" s="420" t="s">
        <v>312</v>
      </c>
      <c r="E4" s="420" t="s">
        <v>286</v>
      </c>
      <c r="F4" s="420" t="s">
        <v>290</v>
      </c>
      <c r="G4" s="556"/>
      <c r="H4" s="432" t="s">
        <v>340</v>
      </c>
      <c r="I4" s="420" t="s">
        <v>341</v>
      </c>
      <c r="J4" s="551"/>
      <c r="K4" s="551"/>
      <c r="M4" s="217">
        <v>2015</v>
      </c>
      <c r="N4" s="217">
        <v>2014</v>
      </c>
      <c r="O4" s="217">
        <v>2013</v>
      </c>
      <c r="P4" s="217" t="s">
        <v>396</v>
      </c>
      <c r="Q4" s="217" t="s">
        <v>400</v>
      </c>
    </row>
    <row r="5" spans="1:17" ht="24.95" customHeight="1">
      <c r="A5" s="282" t="s">
        <v>0</v>
      </c>
      <c r="B5" s="283" t="s">
        <v>280</v>
      </c>
      <c r="C5" s="284">
        <f>VLOOKUP($A5,연도별!$A$2:$K$36,3,0)</f>
        <v>93.311679207099658</v>
      </c>
      <c r="D5" s="284">
        <f>VLOOKUP($A5,연도별!$A$2:$K$36,4,0)</f>
        <v>95.638326321983982</v>
      </c>
      <c r="E5" s="284">
        <f>VLOOKUP($A5,연도별!$A$2:$K$36,6,0)</f>
        <v>94.819162205583311</v>
      </c>
      <c r="F5" s="284">
        <f>VLOOKUP($A5,연도별!$A$2:$K$36,10,0)</f>
        <v>96.103630051225068</v>
      </c>
      <c r="G5" s="435">
        <f>VLOOKUP($A5,'목표(창구+집배)'!$A$3:$K$37,11,0)</f>
        <v>93.399999999999991</v>
      </c>
      <c r="H5" s="433">
        <f t="shared" ref="H5:H36" si="0">G5-C5</f>
        <v>8.8320792900333345E-2</v>
      </c>
      <c r="I5" s="287">
        <f>G5-D5</f>
        <v>-2.2383263219839904</v>
      </c>
      <c r="J5" s="287">
        <f>G5-'[1]16 목표배정안'!J5</f>
        <v>-1.105000000000004</v>
      </c>
      <c r="K5" s="263">
        <f>D5/G5*100</f>
        <v>102.39649499141754</v>
      </c>
      <c r="M5" s="516">
        <f>VLOOKUP($A5,연도별!$A$2:$AH$36,4,0)</f>
        <v>95.638326321983982</v>
      </c>
      <c r="N5" s="516">
        <f>VLOOKUP($A5,연도별!$A$2:$AH$36,13,0)</f>
        <v>93.867506763830505</v>
      </c>
      <c r="O5" s="516">
        <f>VLOOKUP($A5,연도별!$A$2:$AH$36,22,0)</f>
        <v>93.101786578484166</v>
      </c>
      <c r="P5" s="262">
        <f>(M5*0.5+N5*0.3+O5*0.2)*0.99</f>
        <v>93.653774780779599</v>
      </c>
      <c r="Q5" s="514">
        <f>G5-P5</f>
        <v>-0.25377478077960802</v>
      </c>
    </row>
    <row r="6" spans="1:17" ht="24.95" customHeight="1">
      <c r="A6" s="282" t="s">
        <v>1</v>
      </c>
      <c r="B6" s="283" t="s">
        <v>280</v>
      </c>
      <c r="C6" s="284">
        <f>VLOOKUP($A6,연도별!$A$2:$K$36,3,0)</f>
        <v>92.858965354330678</v>
      </c>
      <c r="D6" s="284">
        <f>VLOOKUP($A6,연도별!$A$2:$K$36,4,0)</f>
        <v>95.30045259795348</v>
      </c>
      <c r="E6" s="284">
        <f>VLOOKUP($A6,연도별!$A$2:$K$36,6,0)</f>
        <v>93.616139240506314</v>
      </c>
      <c r="F6" s="284">
        <f>VLOOKUP($A6,연도별!$A$2:$K$36,10,0)</f>
        <v>96.54270833413257</v>
      </c>
      <c r="G6" s="435">
        <f>VLOOKUP($A6,'목표(창구+집배)'!$A$3:$K$37,11,0)</f>
        <v>93.399999999999991</v>
      </c>
      <c r="H6" s="433">
        <f t="shared" si="0"/>
        <v>0.54103464566931336</v>
      </c>
      <c r="I6" s="287">
        <f t="shared" ref="I6:I36" si="1">G6-D6</f>
        <v>-1.900452597953489</v>
      </c>
      <c r="J6" s="287">
        <f>G6-'[1]16 목표배정안'!J6</f>
        <v>-1.039375000000021</v>
      </c>
      <c r="K6" s="263">
        <f t="shared" ref="K6:K37" si="2">D6/G6*100</f>
        <v>102.03474582222</v>
      </c>
      <c r="M6" s="516">
        <f>VLOOKUP($A6,연도별!$A$2:$AH$36,4,0)</f>
        <v>95.30045259795348</v>
      </c>
      <c r="N6" s="516">
        <f>VLOOKUP($A6,연도별!$A$2:$AH$36,13,0)</f>
        <v>93.953117583961912</v>
      </c>
      <c r="O6" s="516">
        <f>VLOOKUP($A6,연도별!$A$2:$AH$36,22,0)</f>
        <v>93.058603004082329</v>
      </c>
      <c r="P6" s="262">
        <f t="shared" ref="P6:P36" si="3">(M6*0.5+N6*0.3+O6*0.2)*0.99</f>
        <v>93.50340335323196</v>
      </c>
      <c r="Q6" s="514">
        <f t="shared" ref="Q6:Q37" si="4">G6-P6</f>
        <v>-0.10340335323196825</v>
      </c>
    </row>
    <row r="7" spans="1:17" s="500" customFormat="1" ht="24.95" customHeight="1">
      <c r="A7" s="282" t="s">
        <v>2</v>
      </c>
      <c r="B7" s="283" t="s">
        <v>280</v>
      </c>
      <c r="C7" s="284">
        <f>VLOOKUP($A7,연도별!$A$2:$K$36,3,0)</f>
        <v>93.534345876808629</v>
      </c>
      <c r="D7" s="284">
        <f>VLOOKUP($A7,연도별!$A$2:$K$36,4,0)</f>
        <v>93.924277269474544</v>
      </c>
      <c r="E7" s="284">
        <f>VLOOKUP($A7,연도별!$A$2:$K$36,6,0)</f>
        <v>93.608385093167669</v>
      </c>
      <c r="F7" s="284">
        <f>VLOOKUP($A7,연도별!$A$2:$K$36,10,0)</f>
        <v>93.653251263620874</v>
      </c>
      <c r="G7" s="435">
        <f>VLOOKUP($A7,'목표(창구+집배)'!$A$3:$K$37,11,0)</f>
        <v>93.399999999999991</v>
      </c>
      <c r="H7" s="497">
        <f t="shared" si="0"/>
        <v>-0.13434587680863785</v>
      </c>
      <c r="I7" s="498">
        <f t="shared" si="1"/>
        <v>-0.52427726947455255</v>
      </c>
      <c r="J7" s="498">
        <f>G7-'[1]16 목표배정안'!J7</f>
        <v>-0.99375000000000568</v>
      </c>
      <c r="K7" s="499">
        <f t="shared" si="2"/>
        <v>100.56132469965155</v>
      </c>
      <c r="M7" s="516">
        <f>VLOOKUP($A7,연도별!$A$2:$AH$36,4,0)</f>
        <v>93.924277269474544</v>
      </c>
      <c r="N7" s="516">
        <f>VLOOKUP($A7,연도별!$A$2:$AH$36,13,0)</f>
        <v>93.667259686310899</v>
      </c>
      <c r="O7" s="516">
        <f>VLOOKUP($A7,연도별!$A$2:$AH$36,22,0)</f>
        <v>95.233832746573995</v>
      </c>
      <c r="P7" s="262">
        <f t="shared" si="3"/>
        <v>93.167992259045889</v>
      </c>
      <c r="Q7" s="514">
        <f t="shared" si="4"/>
        <v>0.23200774095410281</v>
      </c>
    </row>
    <row r="8" spans="1:17" s="500" customFormat="1" ht="24.95" customHeight="1">
      <c r="A8" s="282" t="s">
        <v>3</v>
      </c>
      <c r="B8" s="283" t="s">
        <v>280</v>
      </c>
      <c r="C8" s="284">
        <f>VLOOKUP($A8,연도별!$A$2:$K$36,3,0)</f>
        <v>92.778211667058173</v>
      </c>
      <c r="D8" s="284">
        <f>VLOOKUP($A8,연도별!$A$2:$K$36,4,0)</f>
        <v>95.621019441037745</v>
      </c>
      <c r="E8" s="284">
        <f>VLOOKUP($A8,연도별!$A$2:$K$36,6,0)</f>
        <v>94.527127916331438</v>
      </c>
      <c r="F8" s="284">
        <f>VLOOKUP($A8,연도별!$A$2:$K$36,10,0)</f>
        <v>96.50659722269539</v>
      </c>
      <c r="G8" s="435">
        <f>VLOOKUP($A8,'목표(창구+집배)'!$A$3:$K$37,11,0)</f>
        <v>93.399999999999991</v>
      </c>
      <c r="H8" s="497">
        <f t="shared" si="0"/>
        <v>0.62178833294181857</v>
      </c>
      <c r="I8" s="498">
        <f t="shared" si="1"/>
        <v>-2.2210194410377539</v>
      </c>
      <c r="J8" s="498">
        <f>G8-'[1]16 목표배정안'!J8</f>
        <v>-1.091052631578961</v>
      </c>
      <c r="K8" s="499">
        <f t="shared" si="2"/>
        <v>102.37796514029738</v>
      </c>
      <c r="M8" s="516">
        <f>VLOOKUP($A8,연도별!$A$2:$AH$36,4,0)</f>
        <v>95.621019441037745</v>
      </c>
      <c r="N8" s="516">
        <f>VLOOKUP($A8,연도별!$A$2:$AH$36,13,0)</f>
        <v>92.778211667058173</v>
      </c>
      <c r="O8" s="516">
        <f>VLOOKUP($A8,연도별!$A$2:$AH$36,22,0)</f>
        <v>95.641632421854837</v>
      </c>
      <c r="P8" s="262">
        <f t="shared" si="3"/>
        <v>93.82457670795722</v>
      </c>
      <c r="Q8" s="514">
        <f t="shared" si="4"/>
        <v>-0.4245767079572289</v>
      </c>
    </row>
    <row r="9" spans="1:17" s="500" customFormat="1" ht="24.95" customHeight="1">
      <c r="A9" s="282" t="s">
        <v>4</v>
      </c>
      <c r="B9" s="283" t="s">
        <v>280</v>
      </c>
      <c r="C9" s="284">
        <f>VLOOKUP($A9,연도별!$A$2:$K$36,3,0)</f>
        <v>92.076079277817001</v>
      </c>
      <c r="D9" s="284">
        <f>VLOOKUP($A9,연도별!$A$2:$K$36,4,0)</f>
        <v>95.519869022300057</v>
      </c>
      <c r="E9" s="284">
        <f>VLOOKUP($A9,연도별!$A$2:$K$36,6,0)</f>
        <v>93.620039249083604</v>
      </c>
      <c r="F9" s="284">
        <f>VLOOKUP($A9,연도별!$A$2:$K$36,10,0)</f>
        <v>96.94810606102179</v>
      </c>
      <c r="G9" s="435">
        <f>VLOOKUP($A9,'목표(창구+집배)'!$A$3:$K$37,11,0)</f>
        <v>93.399999999999991</v>
      </c>
      <c r="H9" s="497">
        <f t="shared" si="0"/>
        <v>1.3239207221829901</v>
      </c>
      <c r="I9" s="498">
        <f t="shared" si="1"/>
        <v>-2.1198690223000654</v>
      </c>
      <c r="J9" s="498">
        <f>G9-'[1]16 목표배정안'!J9</f>
        <v>-0.94333333333334224</v>
      </c>
      <c r="K9" s="499">
        <f t="shared" si="2"/>
        <v>102.26966704743047</v>
      </c>
      <c r="M9" s="516">
        <f>VLOOKUP($A9,연도별!$A$2:$AH$36,4,0)</f>
        <v>95.519869022300057</v>
      </c>
      <c r="N9" s="516">
        <f>VLOOKUP($A9,연도별!$A$2:$AH$36,13,0)</f>
        <v>92.880807137507659</v>
      </c>
      <c r="O9" s="516">
        <f>VLOOKUP($A9,연도별!$A$2:$AH$36,22,0)</f>
        <v>91.865997321796925</v>
      </c>
      <c r="P9" s="262">
        <f t="shared" si="3"/>
        <v>93.057402355594093</v>
      </c>
      <c r="Q9" s="514">
        <f t="shared" si="4"/>
        <v>0.3425976444058989</v>
      </c>
    </row>
    <row r="10" spans="1:17" s="500" customFormat="1" ht="24.95" customHeight="1">
      <c r="A10" s="282" t="s">
        <v>5</v>
      </c>
      <c r="B10" s="283" t="s">
        <v>280</v>
      </c>
      <c r="C10" s="284">
        <f>VLOOKUP($A10,연도별!$A$2:$K$36,3,0)</f>
        <v>92.531359623709847</v>
      </c>
      <c r="D10" s="284">
        <f>VLOOKUP($A10,연도별!$A$2:$K$36,4,0)</f>
        <v>94.906361573991731</v>
      </c>
      <c r="E10" s="284">
        <f>VLOOKUP($A10,연도별!$A$2:$K$36,6,0)</f>
        <v>93.871051611653016</v>
      </c>
      <c r="F10" s="284">
        <f>VLOOKUP($A10,연도별!$A$2:$K$36,10,0)</f>
        <v>95.489709596750615</v>
      </c>
      <c r="G10" s="435">
        <f>VLOOKUP($A10,'목표(창구+집배)'!$A$3:$K$37,11,0)</f>
        <v>93.699999999999989</v>
      </c>
      <c r="H10" s="497">
        <f t="shared" si="0"/>
        <v>1.1686403762901421</v>
      </c>
      <c r="I10" s="498">
        <f t="shared" si="1"/>
        <v>-1.2063615739917424</v>
      </c>
      <c r="J10" s="498">
        <f>G10-'[1]16 목표배정안'!J10</f>
        <v>-1.0195833333333439</v>
      </c>
      <c r="K10" s="499">
        <f t="shared" si="2"/>
        <v>101.28747233083431</v>
      </c>
      <c r="M10" s="516">
        <f>VLOOKUP($A10,연도별!$A$2:$AH$36,4,0)</f>
        <v>94.906361573991731</v>
      </c>
      <c r="N10" s="516">
        <f>VLOOKUP($A10,연도별!$A$2:$AH$36,13,0)</f>
        <v>93.101754951717467</v>
      </c>
      <c r="O10" s="516">
        <f>VLOOKUP($A10,연도별!$A$2:$AH$36,22,0)</f>
        <v>92.28822640861415</v>
      </c>
      <c r="P10" s="262">
        <f t="shared" si="3"/>
        <v>92.902939028691591</v>
      </c>
      <c r="Q10" s="514">
        <f t="shared" si="4"/>
        <v>0.79706097130839737</v>
      </c>
    </row>
    <row r="11" spans="1:17" s="500" customFormat="1" ht="24.95" customHeight="1">
      <c r="A11" s="282" t="s">
        <v>12</v>
      </c>
      <c r="B11" s="283" t="s">
        <v>280</v>
      </c>
      <c r="C11" s="284">
        <f>VLOOKUP($A11,연도별!$A$2:$K$36,3,0)</f>
        <v>93.127835276033281</v>
      </c>
      <c r="D11" s="284">
        <f>VLOOKUP($A11,연도별!$A$2:$K$36,4,0)</f>
        <v>95.426797100156037</v>
      </c>
      <c r="E11" s="284">
        <f>VLOOKUP($A11,연도별!$A$2:$K$36,6,0)</f>
        <v>94.777070515449836</v>
      </c>
      <c r="F11" s="284">
        <f>VLOOKUP($A11,연도별!$A$2:$K$36,10,0)</f>
        <v>95.731976011194419</v>
      </c>
      <c r="G11" s="435">
        <f>VLOOKUP($A11,'목표(창구+집배)'!$A$3:$K$37,11,0)</f>
        <v>93.699999999999989</v>
      </c>
      <c r="H11" s="497">
        <f t="shared" si="0"/>
        <v>0.57216472396670781</v>
      </c>
      <c r="I11" s="498">
        <f t="shared" si="1"/>
        <v>-1.7267971001560483</v>
      </c>
      <c r="J11" s="498">
        <f>G11-'[1]16 목표배정안'!J11</f>
        <v>-1.0900000000000034</v>
      </c>
      <c r="K11" s="499">
        <f t="shared" si="2"/>
        <v>101.84289978671937</v>
      </c>
      <c r="M11" s="516">
        <f>VLOOKUP($A11,연도별!$A$2:$AH$36,4,0)</f>
        <v>95.426797100156037</v>
      </c>
      <c r="N11" s="516">
        <f>VLOOKUP($A11,연도별!$A$2:$AH$36,13,0)</f>
        <v>93.127835276033281</v>
      </c>
      <c r="O11" s="516">
        <f>VLOOKUP($A11,연도별!$A$2:$AH$36,22,0)</f>
        <v>94.518858603338003</v>
      </c>
      <c r="P11" s="262">
        <f t="shared" si="3"/>
        <v>93.609965645020054</v>
      </c>
      <c r="Q11" s="514">
        <f t="shared" si="4"/>
        <v>9.0034354979934506E-2</v>
      </c>
    </row>
    <row r="12" spans="1:17" s="500" customFormat="1" ht="24.95" customHeight="1">
      <c r="A12" s="282" t="s">
        <v>6</v>
      </c>
      <c r="B12" s="283" t="s">
        <v>280</v>
      </c>
      <c r="C12" s="284">
        <f>VLOOKUP($A12,연도별!$A$2:$K$36,3,0)</f>
        <v>94.07</v>
      </c>
      <c r="D12" s="284">
        <f>VLOOKUP($A12,연도별!$A$2:$K$36,4,0)</f>
        <v>95.923016361142075</v>
      </c>
      <c r="E12" s="284">
        <f>VLOOKUP($A12,연도별!$A$2:$K$36,6,0)</f>
        <v>95.063278063655389</v>
      </c>
      <c r="F12" s="284">
        <f>VLOOKUP($A12,연도별!$A$2:$K$36,10,0)</f>
        <v>96.35359848611742</v>
      </c>
      <c r="G12" s="435">
        <f>VLOOKUP($A12,'목표(창구+집배)'!$A$3:$K$37,11,0)</f>
        <v>94.3</v>
      </c>
      <c r="H12" s="497">
        <f t="shared" si="0"/>
        <v>0.23000000000000398</v>
      </c>
      <c r="I12" s="498">
        <f t="shared" si="1"/>
        <v>-1.6230163611420778</v>
      </c>
      <c r="J12" s="498">
        <f>G12-'[1]16 목표배정안'!J12</f>
        <v>-1.2339999999999947</v>
      </c>
      <c r="K12" s="499">
        <f t="shared" si="2"/>
        <v>101.7211202133002</v>
      </c>
      <c r="M12" s="516">
        <f>VLOOKUP($A12,연도별!$A$2:$AH$36,4,0)</f>
        <v>95.923016361142075</v>
      </c>
      <c r="N12" s="516">
        <f>VLOOKUP($A12,연도별!$A$2:$AH$36,13,0)</f>
        <v>94.261916748370339</v>
      </c>
      <c r="O12" s="516">
        <f>VLOOKUP($A12,연도별!$A$2:$AH$36,22,0)</f>
        <v>95.090192203497736</v>
      </c>
      <c r="P12" s="262">
        <f t="shared" si="3"/>
        <v>94.305540429323884</v>
      </c>
      <c r="Q12" s="514">
        <f t="shared" si="4"/>
        <v>-5.5404293238865421E-3</v>
      </c>
    </row>
    <row r="13" spans="1:17" s="500" customFormat="1" ht="24.95" customHeight="1">
      <c r="A13" s="282" t="s">
        <v>11</v>
      </c>
      <c r="B13" s="283" t="s">
        <v>280</v>
      </c>
      <c r="C13" s="284">
        <f>VLOOKUP($A13,연도별!$A$2:$K$36,3,0)</f>
        <v>93.54505468250133</v>
      </c>
      <c r="D13" s="284">
        <f>VLOOKUP($A13,연도별!$A$2:$K$36,4,0)</f>
        <v>96.344324677046458</v>
      </c>
      <c r="E13" s="284">
        <f>VLOOKUP($A13,연도별!$A$2:$K$36,6,0)</f>
        <v>94.860940375010955</v>
      </c>
      <c r="F13" s="284">
        <f>VLOOKUP($A13,연도별!$A$2:$K$36,10,0)</f>
        <v>97.485006313507881</v>
      </c>
      <c r="G13" s="435">
        <f>VLOOKUP($A13,'목표(창구+집배)'!$A$3:$K$37,11,0)</f>
        <v>93.699999999999989</v>
      </c>
      <c r="H13" s="497">
        <f t="shared" si="0"/>
        <v>0.15494531749865814</v>
      </c>
      <c r="I13" s="498">
        <f t="shared" si="1"/>
        <v>-2.6443246770464697</v>
      </c>
      <c r="J13" s="498">
        <f>G13-'[1]16 목표배정안'!J13</f>
        <v>-1.3478947368421075</v>
      </c>
      <c r="K13" s="499">
        <f t="shared" si="2"/>
        <v>102.82211811851279</v>
      </c>
      <c r="M13" s="516">
        <f>VLOOKUP($A13,연도별!$A$2:$AH$36,4,0)</f>
        <v>96.344324677046458</v>
      </c>
      <c r="N13" s="516">
        <f>VLOOKUP($A13,연도별!$A$2:$AH$36,13,0)</f>
        <v>94.062323963193293</v>
      </c>
      <c r="O13" s="516">
        <f>VLOOKUP($A13,연도별!$A$2:$AH$36,22,0)</f>
        <v>94.451997507006126</v>
      </c>
      <c r="P13" s="262">
        <f t="shared" si="3"/>
        <v>94.328446438593602</v>
      </c>
      <c r="Q13" s="514">
        <f t="shared" si="4"/>
        <v>-0.62844643859361327</v>
      </c>
    </row>
    <row r="14" spans="1:17" s="500" customFormat="1" ht="24.95" customHeight="1">
      <c r="A14" s="282" t="s">
        <v>17</v>
      </c>
      <c r="B14" s="283" t="s">
        <v>280</v>
      </c>
      <c r="C14" s="284">
        <f>VLOOKUP($A14,연도별!$A$2:$K$36,3,0)</f>
        <v>94.058535432791032</v>
      </c>
      <c r="D14" s="284">
        <f>VLOOKUP($A14,연도별!$A$2:$K$36,4,0)</f>
        <v>95.783561458477848</v>
      </c>
      <c r="E14" s="284">
        <f>VLOOKUP($A14,연도별!$A$2:$K$36,6,0)</f>
        <v>94.687888888888892</v>
      </c>
      <c r="F14" s="284">
        <f>VLOOKUP($A14,연도별!$A$2:$K$36,10,0)</f>
        <v>96.803819444748711</v>
      </c>
      <c r="G14" s="435">
        <f>VLOOKUP($A14,'목표(창구+집배)'!$A$3:$K$37,11,0)</f>
        <v>94.3</v>
      </c>
      <c r="H14" s="497">
        <f t="shared" si="0"/>
        <v>0.24146456720896481</v>
      </c>
      <c r="I14" s="498">
        <f t="shared" si="1"/>
        <v>-1.4835614584778511</v>
      </c>
      <c r="J14" s="498">
        <f>G14-'[1]16 목표배정안'!J14</f>
        <v>-1.2895652173913135</v>
      </c>
      <c r="K14" s="499">
        <f t="shared" si="2"/>
        <v>101.57323590506667</v>
      </c>
      <c r="M14" s="516">
        <f>VLOOKUP($A14,연도별!$A$2:$AH$36,4,0)</f>
        <v>95.783561458477848</v>
      </c>
      <c r="N14" s="516">
        <f>VLOOKUP($A14,연도별!$A$2:$AH$36,13,0)</f>
        <v>94.834908402194316</v>
      </c>
      <c r="O14" s="516">
        <f>VLOOKUP($A14,연도별!$A$2:$AH$36,22,0)</f>
        <v>93.687798469403035</v>
      </c>
      <c r="P14" s="262">
        <f t="shared" si="3"/>
        <v>94.129014814340053</v>
      </c>
      <c r="Q14" s="514">
        <f t="shared" si="4"/>
        <v>0.17098518565994425</v>
      </c>
    </row>
    <row r="15" spans="1:17" s="500" customFormat="1" ht="24.95" customHeight="1">
      <c r="A15" s="282" t="s">
        <v>7</v>
      </c>
      <c r="B15" s="283" t="s">
        <v>280</v>
      </c>
      <c r="C15" s="284">
        <f>VLOOKUP($A15,연도별!$A$2:$K$36,3,0)</f>
        <v>93.947698359771579</v>
      </c>
      <c r="D15" s="284">
        <f>VLOOKUP($A15,연도별!$A$2:$K$36,4,0)</f>
        <v>94.407836393756412</v>
      </c>
      <c r="E15" s="284">
        <f>VLOOKUP($A15,연도별!$A$2:$K$36,6,0)</f>
        <v>94.161830936573921</v>
      </c>
      <c r="F15" s="284">
        <f>VLOOKUP($A15,연도별!$A$2:$K$36,10,0)</f>
        <v>94.191508839755357</v>
      </c>
      <c r="G15" s="435">
        <f>VLOOKUP($A15,'목표(창구+집배)'!$A$3:$K$37,11,0)</f>
        <v>93.699999999999989</v>
      </c>
      <c r="H15" s="497">
        <f t="shared" si="0"/>
        <v>-0.24769835977159005</v>
      </c>
      <c r="I15" s="498">
        <f t="shared" si="1"/>
        <v>-0.70783639375642338</v>
      </c>
      <c r="J15" s="498">
        <f>G15-'[1]16 목표배정안'!J15</f>
        <v>-1.0347619047619219</v>
      </c>
      <c r="K15" s="499">
        <f t="shared" si="2"/>
        <v>100.75542838181049</v>
      </c>
      <c r="M15" s="516">
        <f>VLOOKUP($A15,연도별!$A$2:$AH$36,4,0)</f>
        <v>94.407836393756412</v>
      </c>
      <c r="N15" s="516">
        <f>VLOOKUP($A15,연도별!$A$2:$AH$36,13,0)</f>
        <v>94.291448313448242</v>
      </c>
      <c r="O15" s="516">
        <f>VLOOKUP($A15,연도별!$A$2:$AH$36,22,0)</f>
        <v>94.567842642646283</v>
      </c>
      <c r="P15" s="262">
        <f t="shared" si="3"/>
        <v>93.460872007247517</v>
      </c>
      <c r="Q15" s="514">
        <f t="shared" si="4"/>
        <v>0.2391279927524721</v>
      </c>
    </row>
    <row r="16" spans="1:17" s="500" customFormat="1" ht="24.95" customHeight="1">
      <c r="A16" s="282" t="s">
        <v>8</v>
      </c>
      <c r="B16" s="283" t="s">
        <v>280</v>
      </c>
      <c r="C16" s="284">
        <f>VLOOKUP($A16,연도별!$A$2:$K$36,3,0)</f>
        <v>93.366279142045755</v>
      </c>
      <c r="D16" s="284">
        <f>VLOOKUP($A16,연도별!$A$2:$K$36,4,0)</f>
        <v>94.46436171960562</v>
      </c>
      <c r="E16" s="284">
        <f>VLOOKUP($A16,연도별!$A$2:$K$36,6,0)</f>
        <v>93.899840793602138</v>
      </c>
      <c r="F16" s="284">
        <f>VLOOKUP($A16,연도별!$A$2:$K$36,10,0)</f>
        <v>94.688289142409715</v>
      </c>
      <c r="G16" s="435">
        <f>VLOOKUP($A16,'목표(창구+집배)'!$A$3:$K$37,11,0)</f>
        <v>93.699999999999989</v>
      </c>
      <c r="H16" s="497">
        <f t="shared" si="0"/>
        <v>0.33372085795423345</v>
      </c>
      <c r="I16" s="498">
        <f t="shared" si="1"/>
        <v>-0.76436171960563115</v>
      </c>
      <c r="J16" s="498">
        <f>G16-'[1]16 목표배정안'!J16</f>
        <v>-0.86708333333334053</v>
      </c>
      <c r="K16" s="499">
        <f t="shared" si="2"/>
        <v>100.81575423650548</v>
      </c>
      <c r="M16" s="516">
        <f>VLOOKUP($A16,연도별!$A$2:$AH$36,4,0)</f>
        <v>94.46436171960562</v>
      </c>
      <c r="N16" s="516">
        <f>VLOOKUP($A16,연도별!$A$2:$AH$36,13,0)</f>
        <v>94.16490909219057</v>
      </c>
      <c r="O16" s="516">
        <f>VLOOKUP($A16,연도별!$A$2:$AH$36,22,0)</f>
        <v>93.164975684063307</v>
      </c>
      <c r="P16" s="262">
        <f t="shared" si="3"/>
        <v>93.173502237029922</v>
      </c>
      <c r="Q16" s="514">
        <f t="shared" si="4"/>
        <v>0.52649776297006667</v>
      </c>
    </row>
    <row r="17" spans="1:17" s="500" customFormat="1" ht="24.95" customHeight="1">
      <c r="A17" s="282" t="s">
        <v>9</v>
      </c>
      <c r="B17" s="283" t="s">
        <v>280</v>
      </c>
      <c r="C17" s="284">
        <f>VLOOKUP($A17,연도별!$A$2:$K$36,3,0)</f>
        <v>94.074063592198399</v>
      </c>
      <c r="D17" s="284">
        <f>VLOOKUP($A17,연도별!$A$2:$K$36,4,0)</f>
        <v>96.066275648606492</v>
      </c>
      <c r="E17" s="284">
        <f>VLOOKUP($A17,연도별!$A$2:$K$36,6,0)</f>
        <v>94.589680525504534</v>
      </c>
      <c r="F17" s="284">
        <f>VLOOKUP($A17,연도별!$A$2:$K$36,10,0)</f>
        <v>97.213005050509139</v>
      </c>
      <c r="G17" s="435">
        <f>VLOOKUP($A17,'목표(창구+집배)'!$A$3:$K$37,11,0)</f>
        <v>94.3</v>
      </c>
      <c r="H17" s="497">
        <f t="shared" si="0"/>
        <v>0.22593640780159774</v>
      </c>
      <c r="I17" s="498">
        <f t="shared" si="1"/>
        <v>-1.766275648606495</v>
      </c>
      <c r="J17" s="498">
        <f>G17-'[1]16 목표배정안'!J17</f>
        <v>-1.230714285714285</v>
      </c>
      <c r="K17" s="499">
        <f t="shared" si="2"/>
        <v>101.87303886384571</v>
      </c>
      <c r="M17" s="516">
        <f>VLOOKUP($A17,연도별!$A$2:$AH$36,4,0)</f>
        <v>96.066275648606492</v>
      </c>
      <c r="N17" s="516">
        <f>VLOOKUP($A17,연도별!$A$2:$AH$36,13,0)</f>
        <v>95.134618019844766</v>
      </c>
      <c r="O17" s="516">
        <f>VLOOKUP($A17,연도별!$A$2:$AH$36,22,0)</f>
        <v>94.559820298207143</v>
      </c>
      <c r="P17" s="262">
        <f t="shared" si="3"/>
        <v>94.53063241699914</v>
      </c>
      <c r="Q17" s="514">
        <f t="shared" si="4"/>
        <v>-0.23063241699914272</v>
      </c>
    </row>
    <row r="18" spans="1:17" s="500" customFormat="1" ht="24.95" customHeight="1">
      <c r="A18" s="282" t="s">
        <v>10</v>
      </c>
      <c r="B18" s="283" t="s">
        <v>280</v>
      </c>
      <c r="C18" s="284">
        <f>VLOOKUP($A18,연도별!$A$2:$K$36,3,0)</f>
        <v>94.074063592198399</v>
      </c>
      <c r="D18" s="284">
        <f>VLOOKUP($A18,연도별!$A$2:$K$36,4,0)</f>
        <v>96.092395063176156</v>
      </c>
      <c r="E18" s="284">
        <f>VLOOKUP($A18,연도별!$A$2:$K$36,6,0)</f>
        <v>95.066668367952261</v>
      </c>
      <c r="F18" s="284">
        <f>VLOOKUP($A18,연도별!$A$2:$K$36,10,0)</f>
        <v>96.812058080839634</v>
      </c>
      <c r="G18" s="435">
        <f>VLOOKUP($A18,'목표(창구+집배)'!$A$3:$K$37,11,0)</f>
        <v>94.3</v>
      </c>
      <c r="H18" s="497">
        <f t="shared" si="0"/>
        <v>0.22593640780159774</v>
      </c>
      <c r="I18" s="498">
        <f t="shared" si="1"/>
        <v>-1.7923950631761585</v>
      </c>
      <c r="J18" s="498">
        <f>G18-'[1]16 목표배정안'!J18</f>
        <v>-0.90366666666666617</v>
      </c>
      <c r="K18" s="499">
        <f t="shared" si="2"/>
        <v>101.90073707653889</v>
      </c>
      <c r="M18" s="516">
        <f>VLOOKUP($A18,연도별!$A$2:$AH$36,4,0)</f>
        <v>96.092395063176156</v>
      </c>
      <c r="N18" s="516">
        <f>VLOOKUP($A18,연도별!$A$2:$AH$36,13,0)</f>
        <v>95.259324189698006</v>
      </c>
      <c r="O18" s="516">
        <f>VLOOKUP($A18,연도별!$A$2:$AH$36,22,0)</f>
        <v>94.330965365498457</v>
      </c>
      <c r="P18" s="262">
        <f t="shared" si="3"/>
        <v>94.535285982981208</v>
      </c>
      <c r="Q18" s="514">
        <f t="shared" si="4"/>
        <v>-0.2352859829812104</v>
      </c>
    </row>
    <row r="19" spans="1:17" s="500" customFormat="1" ht="24.95" customHeight="1">
      <c r="A19" s="282" t="s">
        <v>13</v>
      </c>
      <c r="B19" s="283" t="s">
        <v>280</v>
      </c>
      <c r="C19" s="284">
        <f>VLOOKUP($A19,연도별!$A$2:$K$36,3,0)</f>
        <v>94.036741287973499</v>
      </c>
      <c r="D19" s="284">
        <f>VLOOKUP($A19,연도별!$A$2:$K$36,4,0)</f>
        <v>95.380964052438969</v>
      </c>
      <c r="E19" s="284">
        <f>VLOOKUP($A19,연도별!$A$2:$K$36,6,0)</f>
        <v>94.394281045751626</v>
      </c>
      <c r="F19" s="284">
        <f>VLOOKUP($A19,연도별!$A$2:$K$36,10,0)</f>
        <v>96.291959064646193</v>
      </c>
      <c r="G19" s="435">
        <f>VLOOKUP($A19,'목표(창구+집배)'!$A$3:$K$37,11,0)</f>
        <v>93.699999999999989</v>
      </c>
      <c r="H19" s="497">
        <f t="shared" si="0"/>
        <v>-0.33674128797350988</v>
      </c>
      <c r="I19" s="498">
        <f t="shared" si="1"/>
        <v>-1.6809640524389806</v>
      </c>
      <c r="J19" s="498">
        <f>G19-'[1]16 목표배정안'!J19</f>
        <v>-1.2932142857142992</v>
      </c>
      <c r="K19" s="499">
        <f t="shared" si="2"/>
        <v>101.79398511466273</v>
      </c>
      <c r="M19" s="516">
        <f>VLOOKUP($A19,연도별!$A$2:$AH$36,4,0)</f>
        <v>95.380964052438969</v>
      </c>
      <c r="N19" s="516">
        <f>VLOOKUP($A19,연도별!$A$2:$AH$36,13,0)</f>
        <v>94.107293134900331</v>
      </c>
      <c r="O19" s="516">
        <f>VLOOKUP($A19,연도별!$A$2:$AH$36,22,0)</f>
        <v>94.109734726871693</v>
      </c>
      <c r="P19" s="262">
        <f t="shared" si="3"/>
        <v>93.79717074294328</v>
      </c>
      <c r="Q19" s="514">
        <f t="shared" si="4"/>
        <v>-9.7170742943291089E-2</v>
      </c>
    </row>
    <row r="20" spans="1:17" s="500" customFormat="1" ht="24.95" customHeight="1">
      <c r="A20" s="282" t="s">
        <v>23</v>
      </c>
      <c r="B20" s="283" t="s">
        <v>280</v>
      </c>
      <c r="C20" s="284">
        <f>VLOOKUP($A20,연도별!$A$2:$K$36,3,0)</f>
        <v>94.469224195144022</v>
      </c>
      <c r="D20" s="284">
        <f>VLOOKUP($A20,연도별!$A$2:$K$36,4,0)</f>
        <v>95.63244805341273</v>
      </c>
      <c r="E20" s="284">
        <f>VLOOKUP($A20,연도별!$A$2:$K$36,6,0)</f>
        <v>94.725767831501628</v>
      </c>
      <c r="F20" s="284">
        <f>VLOOKUP($A20,연도별!$A$2:$K$36,10,0)</f>
        <v>96.237280701998884</v>
      </c>
      <c r="G20" s="435">
        <f>VLOOKUP($A20,'목표(창구+집배)'!$A$3:$K$37,11,0)</f>
        <v>94.3</v>
      </c>
      <c r="H20" s="497">
        <f t="shared" si="0"/>
        <v>-0.1692241951440252</v>
      </c>
      <c r="I20" s="498">
        <f t="shared" si="1"/>
        <v>-1.3324480534127332</v>
      </c>
      <c r="J20" s="498">
        <f>G20-'[1]16 목표배정안'!J20</f>
        <v>-1.2330000000000041</v>
      </c>
      <c r="K20" s="499">
        <f t="shared" si="2"/>
        <v>101.41298839174202</v>
      </c>
      <c r="M20" s="516">
        <f>VLOOKUP($A20,연도별!$A$2:$AH$36,4,0)</f>
        <v>95.63244805341273</v>
      </c>
      <c r="N20" s="516">
        <f>VLOOKUP($A20,연도별!$A$2:$AH$36,13,0)</f>
        <v>95.461671055529578</v>
      </c>
      <c r="O20" s="516">
        <f>VLOOKUP($A20,연도별!$A$2:$AH$36,22,0)</f>
        <v>93.286128368800917</v>
      </c>
      <c r="P20" s="262">
        <f t="shared" si="3"/>
        <v>94.160831506954167</v>
      </c>
      <c r="Q20" s="514">
        <f t="shared" si="4"/>
        <v>0.13916849304582968</v>
      </c>
    </row>
    <row r="21" spans="1:17" s="500" customFormat="1" ht="24.95" customHeight="1">
      <c r="A21" s="282" t="s">
        <v>14</v>
      </c>
      <c r="B21" s="283" t="s">
        <v>280</v>
      </c>
      <c r="C21" s="284">
        <f>VLOOKUP($A21,연도별!$A$2:$K$36,3,0)</f>
        <v>95.103710238890187</v>
      </c>
      <c r="D21" s="284">
        <f>VLOOKUP($A21,연도별!$A$2:$K$36,4,0)</f>
        <v>95.870986667813995</v>
      </c>
      <c r="E21" s="284">
        <f>VLOOKUP($A21,연도별!$A$2:$K$36,6,0)</f>
        <v>95.672241557102353</v>
      </c>
      <c r="F21" s="284">
        <f>VLOOKUP($A21,연도별!$A$2:$K$36,10,0)</f>
        <v>95.740361954085017</v>
      </c>
      <c r="G21" s="435">
        <f>VLOOKUP($A21,'목표(창구+집배)'!$A$3:$K$37,11,0)</f>
        <v>95.199999999999989</v>
      </c>
      <c r="H21" s="497">
        <f t="shared" si="0"/>
        <v>9.6289761109801475E-2</v>
      </c>
      <c r="I21" s="498">
        <f t="shared" si="1"/>
        <v>-0.67098666781400595</v>
      </c>
      <c r="J21" s="498">
        <f>G21-'[1]16 목표배정안'!J21</f>
        <v>-1.0416666666666856</v>
      </c>
      <c r="K21" s="499">
        <f t="shared" si="2"/>
        <v>100.70481792837607</v>
      </c>
      <c r="M21" s="516">
        <f>VLOOKUP($A21,연도별!$A$2:$AH$36,4,0)</f>
        <v>95.870986667813995</v>
      </c>
      <c r="N21" s="516">
        <f>VLOOKUP($A21,연도별!$A$2:$AH$36,13,0)</f>
        <v>95.513958721515607</v>
      </c>
      <c r="O21" s="516">
        <f>VLOOKUP($A21,연도별!$A$2:$AH$36,22,0)</f>
        <v>95.341435262447874</v>
      </c>
      <c r="P21" s="262">
        <f t="shared" si="3"/>
        <v>94.701388322822751</v>
      </c>
      <c r="Q21" s="514">
        <f t="shared" si="4"/>
        <v>0.49861167717723731</v>
      </c>
    </row>
    <row r="22" spans="1:17" s="500" customFormat="1" ht="24.95" customHeight="1">
      <c r="A22" s="282" t="s">
        <v>15</v>
      </c>
      <c r="B22" s="283" t="s">
        <v>282</v>
      </c>
      <c r="C22" s="284">
        <f>VLOOKUP($A22,연도별!$A$2:$K$36,3,0)</f>
        <v>95.142559940341329</v>
      </c>
      <c r="D22" s="284">
        <f>VLOOKUP($A22,연도별!$A$2:$K$36,4,0)</f>
        <v>96.580064665102668</v>
      </c>
      <c r="E22" s="284">
        <f>VLOOKUP($A22,연도별!$A$2:$K$36,6,0)</f>
        <v>95.518005621277879</v>
      </c>
      <c r="F22" s="284">
        <f>VLOOKUP($A22,연도별!$A$2:$K$36,10,0)</f>
        <v>97.640025252622479</v>
      </c>
      <c r="G22" s="435">
        <f>VLOOKUP($A22,'목표(창구+집배)'!$A$3:$K$37,11,0)</f>
        <v>95.199999999999989</v>
      </c>
      <c r="H22" s="497">
        <f t="shared" si="0"/>
        <v>5.7440059658659948E-2</v>
      </c>
      <c r="I22" s="498">
        <f t="shared" si="1"/>
        <v>-1.3800646651026796</v>
      </c>
      <c r="J22" s="498">
        <f>G22-'[1]16 목표배정안'!J22</f>
        <v>-0.63500000000001933</v>
      </c>
      <c r="K22" s="499">
        <f t="shared" si="2"/>
        <v>101.4496477574608</v>
      </c>
      <c r="M22" s="516">
        <f>VLOOKUP($A22,연도별!$A$2:$AH$36,4,0)</f>
        <v>96.580064665102668</v>
      </c>
      <c r="N22" s="516">
        <f>VLOOKUP($A22,연도별!$A$2:$AH$36,13,0)</f>
        <v>95.672113752783872</v>
      </c>
      <c r="O22" s="516">
        <f>VLOOKUP($A22,연도별!$A$2:$AH$36,22,0)</f>
        <v>95.654255581634345</v>
      </c>
      <c r="P22" s="262">
        <f t="shared" si="3"/>
        <v>95.161292398966225</v>
      </c>
      <c r="Q22" s="514">
        <f t="shared" si="4"/>
        <v>3.8707601033763694E-2</v>
      </c>
    </row>
    <row r="23" spans="1:17" s="500" customFormat="1" ht="24.95" customHeight="1">
      <c r="A23" s="282" t="s">
        <v>16</v>
      </c>
      <c r="B23" s="283" t="s">
        <v>282</v>
      </c>
      <c r="C23" s="284">
        <f>VLOOKUP($A23,연도별!$A$2:$K$36,3,0)</f>
        <v>95.713559513887063</v>
      </c>
      <c r="D23" s="284">
        <f>VLOOKUP($A23,연도별!$A$2:$K$36,4,0)</f>
        <v>96.726754759203502</v>
      </c>
      <c r="E23" s="284">
        <f>VLOOKUP($A23,연도별!$A$2:$K$36,6,0)</f>
        <v>95.176461375310382</v>
      </c>
      <c r="F23" s="284">
        <f>VLOOKUP($A23,연도별!$A$2:$K$36,10,0)</f>
        <v>98.121969696696965</v>
      </c>
      <c r="G23" s="435">
        <f>VLOOKUP($A23,'목표(창구+집배)'!$A$3:$K$37,11,0)</f>
        <v>95.199999999999989</v>
      </c>
      <c r="H23" s="497">
        <f t="shared" si="0"/>
        <v>-0.5135595138870741</v>
      </c>
      <c r="I23" s="498">
        <f t="shared" si="1"/>
        <v>-1.5267547592035129</v>
      </c>
      <c r="J23" s="498">
        <f>G23-'[1]16 목표배정안'!J23</f>
        <v>-0.99583333333333712</v>
      </c>
      <c r="K23" s="499">
        <f t="shared" si="2"/>
        <v>101.60373399075999</v>
      </c>
      <c r="M23" s="516">
        <f>VLOOKUP($A23,연도별!$A$2:$AH$36,4,0)</f>
        <v>96.726754759203502</v>
      </c>
      <c r="N23" s="516">
        <f>VLOOKUP($A23,연도별!$A$2:$AH$36,13,0)</f>
        <v>97.024510500005988</v>
      </c>
      <c r="O23" s="516">
        <f>VLOOKUP($A23,연도별!$A$2:$AH$36,22,0)</f>
        <v>96.223669707861077</v>
      </c>
      <c r="P23" s="262">
        <f t="shared" si="3"/>
        <v>95.748309826464009</v>
      </c>
      <c r="Q23" s="514">
        <f t="shared" si="4"/>
        <v>-0.54830982646402049</v>
      </c>
    </row>
    <row r="24" spans="1:17" s="500" customFormat="1" ht="24.95" customHeight="1">
      <c r="A24" s="282" t="s">
        <v>18</v>
      </c>
      <c r="B24" s="283" t="s">
        <v>282</v>
      </c>
      <c r="C24" s="284">
        <f>VLOOKUP($A24,연도별!$A$2:$K$36,3,0)</f>
        <v>94.955502887868505</v>
      </c>
      <c r="D24" s="284">
        <f>VLOOKUP($A24,연도별!$A$2:$K$36,4,0)</f>
        <v>96.718841923525858</v>
      </c>
      <c r="E24" s="284">
        <f>VLOOKUP($A24,연도별!$A$2:$K$36,6,0)</f>
        <v>95.7071069554747</v>
      </c>
      <c r="F24" s="284">
        <f>VLOOKUP($A24,연도별!$A$2:$K$36,10,0)</f>
        <v>98.069402357211288</v>
      </c>
      <c r="G24" s="435">
        <f>VLOOKUP($A24,'목표(창구+집배)'!$A$3:$K$37,11,0)</f>
        <v>95.199999999999989</v>
      </c>
      <c r="H24" s="497">
        <f t="shared" si="0"/>
        <v>0.24449711213148362</v>
      </c>
      <c r="I24" s="498">
        <f t="shared" si="1"/>
        <v>-1.5188419235258692</v>
      </c>
      <c r="J24" s="498">
        <f>G24-'[1]16 목표배정안'!J24</f>
        <v>-0.97033333333334326</v>
      </c>
      <c r="K24" s="499">
        <f t="shared" si="2"/>
        <v>101.5954221885776</v>
      </c>
      <c r="M24" s="516">
        <f>VLOOKUP($A24,연도별!$A$2:$AH$36,4,0)</f>
        <v>96.718841923525858</v>
      </c>
      <c r="N24" s="516">
        <f>VLOOKUP($A24,연도별!$A$2:$AH$36,13,0)</f>
        <v>95.227583816014814</v>
      </c>
      <c r="O24" s="516">
        <f>VLOOKUP($A24,연도별!$A$2:$AH$36,22,0)</f>
        <v>94.75662924912649</v>
      </c>
      <c r="P24" s="262">
        <f t="shared" si="3"/>
        <v>94.92023173682874</v>
      </c>
      <c r="Q24" s="514">
        <f t="shared" si="4"/>
        <v>0.27976826317124903</v>
      </c>
    </row>
    <row r="25" spans="1:17" s="500" customFormat="1" ht="24.95" customHeight="1">
      <c r="A25" s="282" t="s">
        <v>19</v>
      </c>
      <c r="B25" s="283" t="s">
        <v>282</v>
      </c>
      <c r="C25" s="284">
        <f>VLOOKUP($A25,연도별!$A$2:$K$36,3,0)</f>
        <v>93.413245756062736</v>
      </c>
      <c r="D25" s="284">
        <f>VLOOKUP($A25,연도별!$A$2:$K$36,4,0)</f>
        <v>95.195787536887551</v>
      </c>
      <c r="E25" s="284">
        <f>VLOOKUP($A25,연도별!$A$2:$K$36,6,0)</f>
        <v>94.46331400671346</v>
      </c>
      <c r="F25" s="284">
        <f>VLOOKUP($A25,연도별!$A$2:$K$36,10,0)</f>
        <v>95.633080807786612</v>
      </c>
      <c r="G25" s="435">
        <f>VLOOKUP($A25,'목표(창구+집배)'!$A$3:$K$37,11,0)</f>
        <v>94.3</v>
      </c>
      <c r="H25" s="497">
        <f t="shared" si="0"/>
        <v>0.88675424393726132</v>
      </c>
      <c r="I25" s="498">
        <f t="shared" si="1"/>
        <v>-0.89578753688755341</v>
      </c>
      <c r="J25" s="498">
        <f>G25-'[1]16 목표배정안'!J25</f>
        <v>-1.0323333333333409</v>
      </c>
      <c r="K25" s="499">
        <f t="shared" si="2"/>
        <v>100.94993376128055</v>
      </c>
      <c r="M25" s="516">
        <f>VLOOKUP($A25,연도별!$A$2:$AH$36,4,0)</f>
        <v>95.195787536887551</v>
      </c>
      <c r="N25" s="516">
        <f>VLOOKUP($A25,연도별!$A$2:$AH$36,13,0)</f>
        <v>93.422688899819306</v>
      </c>
      <c r="O25" s="516">
        <f>VLOOKUP($A25,연도별!$A$2:$AH$36,22,0)</f>
        <v>94.325889393134048</v>
      </c>
      <c r="P25" s="262">
        <f t="shared" si="3"/>
        <v>93.544979533846217</v>
      </c>
      <c r="Q25" s="514">
        <f t="shared" si="4"/>
        <v>0.75502046615378049</v>
      </c>
    </row>
    <row r="26" spans="1:17" s="500" customFormat="1" ht="24.95" customHeight="1">
      <c r="A26" s="282" t="s">
        <v>20</v>
      </c>
      <c r="B26" s="283" t="s">
        <v>282</v>
      </c>
      <c r="C26" s="284">
        <f>VLOOKUP($A26,연도별!$A$2:$K$36,3,0)</f>
        <v>95.713559513887063</v>
      </c>
      <c r="D26" s="284">
        <f>VLOOKUP($A26,연도별!$A$2:$K$36,4,0)</f>
        <v>97.634190867048133</v>
      </c>
      <c r="E26" s="284">
        <f>VLOOKUP($A26,연도별!$A$2:$K$36,6,0)</f>
        <v>96.961403508771923</v>
      </c>
      <c r="F26" s="284">
        <f>VLOOKUP($A26,연도별!$A$2:$K$36,10,0)</f>
        <v>98.278998316592578</v>
      </c>
      <c r="G26" s="435">
        <f>VLOOKUP($A26,'목표(창구+집배)'!$A$3:$K$37,11,0)</f>
        <v>95.199999999999989</v>
      </c>
      <c r="H26" s="497">
        <f t="shared" si="0"/>
        <v>-0.5135595138870741</v>
      </c>
      <c r="I26" s="498">
        <f t="shared" si="1"/>
        <v>-2.4341908670481445</v>
      </c>
      <c r="J26" s="498">
        <f>G26-'[1]16 목표배정안'!J26</f>
        <v>-1.0700000000000074</v>
      </c>
      <c r="K26" s="499">
        <f t="shared" si="2"/>
        <v>102.55692317967242</v>
      </c>
      <c r="M26" s="516">
        <f>VLOOKUP($A26,연도별!$A$2:$AH$36,4,0)</f>
        <v>97.634190867048133</v>
      </c>
      <c r="N26" s="516">
        <f>VLOOKUP($A26,연도별!$A$2:$AH$36,13,0)</f>
        <v>96.546414818431387</v>
      </c>
      <c r="O26" s="516">
        <f>VLOOKUP($A26,연도별!$A$2:$AH$36,22,0)</f>
        <v>96.007489202058451</v>
      </c>
      <c r="P26" s="262">
        <f t="shared" si="3"/>
        <v>96.012692542270514</v>
      </c>
      <c r="Q26" s="514">
        <f t="shared" si="4"/>
        <v>-0.81269254227052556</v>
      </c>
    </row>
    <row r="27" spans="1:17" s="500" customFormat="1" ht="24.95" customHeight="1">
      <c r="A27" s="282" t="s">
        <v>21</v>
      </c>
      <c r="B27" s="283" t="s">
        <v>282</v>
      </c>
      <c r="C27" s="284">
        <f>VLOOKUP($A27,연도별!$A$2:$K$36,3,0)</f>
        <v>95.713559513887063</v>
      </c>
      <c r="D27" s="284">
        <f>VLOOKUP($A27,연도별!$A$2:$K$36,4,0)</f>
        <v>98.118951796830885</v>
      </c>
      <c r="E27" s="284">
        <f>VLOOKUP($A27,연도별!$A$2:$K$36,6,0)</f>
        <v>97.115855457227127</v>
      </c>
      <c r="F27" s="284">
        <f>VLOOKUP($A27,연도별!$A$2:$K$36,10,0)</f>
        <v>99.197727272943169</v>
      </c>
      <c r="G27" s="435">
        <f>VLOOKUP($A27,'목표(창구+집배)'!$A$3:$K$37,11,0)</f>
        <v>95.199999999999989</v>
      </c>
      <c r="H27" s="497">
        <f t="shared" si="0"/>
        <v>-0.5135595138870741</v>
      </c>
      <c r="I27" s="498">
        <f t="shared" si="1"/>
        <v>-2.9189517968308962</v>
      </c>
      <c r="J27" s="498">
        <f>G27-'[1]16 목표배정안'!J27</f>
        <v>-0.97088235294117453</v>
      </c>
      <c r="K27" s="499">
        <f t="shared" si="2"/>
        <v>103.06612583700725</v>
      </c>
      <c r="M27" s="516">
        <f>VLOOKUP($A27,연도별!$A$2:$AH$36,4,0)</f>
        <v>98.118951796830885</v>
      </c>
      <c r="N27" s="516">
        <f>VLOOKUP($A27,연도별!$A$2:$AH$36,13,0)</f>
        <v>96.676338506936418</v>
      </c>
      <c r="O27" s="516">
        <f>VLOOKUP($A27,연도별!$A$2:$AH$36,22,0)</f>
        <v>95.197417020967578</v>
      </c>
      <c r="P27" s="262">
        <f t="shared" si="3"/>
        <v>96.13084224614299</v>
      </c>
      <c r="Q27" s="514">
        <f t="shared" si="4"/>
        <v>-0.93084224614300126</v>
      </c>
    </row>
    <row r="28" spans="1:17" s="500" customFormat="1" ht="24.95" customHeight="1">
      <c r="A28" s="282" t="s">
        <v>22</v>
      </c>
      <c r="B28" s="283" t="s">
        <v>282</v>
      </c>
      <c r="C28" s="284">
        <f>VLOOKUP($A28,연도별!$A$2:$K$36,3,0)</f>
        <v>94.840296371253686</v>
      </c>
      <c r="D28" s="284">
        <f>VLOOKUP($A28,연도별!$A$2:$K$36,4,0)</f>
        <v>97.495952169332412</v>
      </c>
      <c r="E28" s="284">
        <f>VLOOKUP($A28,연도별!$A$2:$K$36,6,0)</f>
        <v>96.426774193548383</v>
      </c>
      <c r="F28" s="284">
        <f>VLOOKUP($A28,연도별!$A$2:$K$36,10,0)</f>
        <v>98.42786195241456</v>
      </c>
      <c r="G28" s="435">
        <f>VLOOKUP($A28,'목표(창구+집배)'!$A$3:$K$37,11,0)</f>
        <v>94.3</v>
      </c>
      <c r="H28" s="497">
        <f t="shared" si="0"/>
        <v>-0.54029637125368879</v>
      </c>
      <c r="I28" s="498">
        <f t="shared" si="1"/>
        <v>-3.1959521693324149</v>
      </c>
      <c r="J28" s="498">
        <f>G28-'[1]16 목표배정안'!J28</f>
        <v>-1.2106666666666683</v>
      </c>
      <c r="K28" s="499">
        <f t="shared" si="2"/>
        <v>103.38913273524115</v>
      </c>
      <c r="M28" s="516">
        <f>VLOOKUP($A28,연도별!$A$2:$AH$36,4,0)</f>
        <v>97.495952169332412</v>
      </c>
      <c r="N28" s="516">
        <f>VLOOKUP($A28,연도별!$A$2:$AH$36,13,0)</f>
        <v>95.601902122631728</v>
      </c>
      <c r="O28" s="516">
        <f>VLOOKUP($A28,연도별!$A$2:$AH$36,22,0)</f>
        <v>95.529027560521456</v>
      </c>
      <c r="P28" s="262">
        <f t="shared" si="3"/>
        <v>95.569008711224413</v>
      </c>
      <c r="Q28" s="514">
        <f t="shared" si="4"/>
        <v>-1.2690087112244157</v>
      </c>
    </row>
    <row r="29" spans="1:17" s="500" customFormat="1" ht="24.95" customHeight="1">
      <c r="A29" s="282" t="s">
        <v>24</v>
      </c>
      <c r="B29" s="283" t="s">
        <v>282</v>
      </c>
      <c r="C29" s="284">
        <f>VLOOKUP($A29,연도별!$A$2:$K$36,3,0)</f>
        <v>95.605273693387431</v>
      </c>
      <c r="D29" s="284">
        <f>VLOOKUP($A29,연도별!$A$2:$K$36,4,0)</f>
        <v>95.995061001777174</v>
      </c>
      <c r="E29" s="284">
        <f>VLOOKUP($A29,연도별!$A$2:$K$36,6,0)</f>
        <v>95.548278787597042</v>
      </c>
      <c r="F29" s="284">
        <f>VLOOKUP($A29,연도별!$A$2:$K$36,10,0)</f>
        <v>96.157112795091749</v>
      </c>
      <c r="G29" s="435">
        <f>VLOOKUP($A29,'목표(창구+집배)'!$A$3:$K$37,11,0)</f>
        <v>95.199999999999989</v>
      </c>
      <c r="H29" s="497">
        <f t="shared" si="0"/>
        <v>-0.40527369338744279</v>
      </c>
      <c r="I29" s="498">
        <f t="shared" si="1"/>
        <v>-0.79506100177718508</v>
      </c>
      <c r="J29" s="498">
        <f>G29-'[1]16 목표배정안'!J29</f>
        <v>-0.91500000000000625</v>
      </c>
      <c r="K29" s="499">
        <f t="shared" si="2"/>
        <v>100.8351481111105</v>
      </c>
      <c r="M29" s="516">
        <f>VLOOKUP($A29,연도별!$A$2:$AH$36,4,0)</f>
        <v>95.995061001777174</v>
      </c>
      <c r="N29" s="516">
        <f>VLOOKUP($A29,연도별!$A$2:$AH$36,13,0)</f>
        <v>96.47104010485819</v>
      </c>
      <c r="O29" s="516">
        <f>VLOOKUP($A29,연도별!$A$2:$AH$36,22,0)</f>
        <v>95.537490273159321</v>
      </c>
      <c r="P29" s="262">
        <f t="shared" si="3"/>
        <v>95.085877181108131</v>
      </c>
      <c r="Q29" s="514">
        <f t="shared" si="4"/>
        <v>0.11412281889185749</v>
      </c>
    </row>
    <row r="30" spans="1:17" s="500" customFormat="1" ht="24.95" customHeight="1">
      <c r="A30" s="282" t="s">
        <v>25</v>
      </c>
      <c r="B30" s="283" t="s">
        <v>282</v>
      </c>
      <c r="C30" s="284">
        <f>VLOOKUP($A30,연도별!$A$2:$K$36,3,0)</f>
        <v>95.057682782449334</v>
      </c>
      <c r="D30" s="284">
        <f>VLOOKUP($A30,연도별!$A$2:$K$36,4,0)</f>
        <v>97.292959806436684</v>
      </c>
      <c r="E30" s="284">
        <f>VLOOKUP($A30,연도별!$A$2:$K$36,6,0)</f>
        <v>96.831818181818178</v>
      </c>
      <c r="F30" s="284">
        <f>VLOOKUP($A30,연도별!$A$2:$K$36,10,0)</f>
        <v>97.469149831732736</v>
      </c>
      <c r="G30" s="435">
        <f>VLOOKUP($A30,'목표(창구+집배)'!$A$3:$K$37,11,0)</f>
        <v>95.199999999999989</v>
      </c>
      <c r="H30" s="497">
        <f t="shared" si="0"/>
        <v>0.14231721755065507</v>
      </c>
      <c r="I30" s="498">
        <f t="shared" si="1"/>
        <v>-2.0929598064366957</v>
      </c>
      <c r="J30" s="498">
        <f>G30-'[1]16 목표배정안'!J30</f>
        <v>-0.75642857142858588</v>
      </c>
      <c r="K30" s="499">
        <f t="shared" si="2"/>
        <v>102.19848719163518</v>
      </c>
      <c r="M30" s="516">
        <f>VLOOKUP($A30,연도별!$A$2:$AH$36,4,0)</f>
        <v>97.292959806436684</v>
      </c>
      <c r="N30" s="516">
        <f>VLOOKUP($A30,연도별!$A$2:$AH$36,13,0)</f>
        <v>95.057682782449334</v>
      </c>
      <c r="O30" s="516">
        <f>VLOOKUP($A30,연도별!$A$2:$AH$36,22,0)</f>
        <v>96.323452752728912</v>
      </c>
      <c r="P30" s="262">
        <f t="shared" si="3"/>
        <v>95.464190535613923</v>
      </c>
      <c r="Q30" s="514">
        <f t="shared" si="4"/>
        <v>-0.26419053561393468</v>
      </c>
    </row>
    <row r="31" spans="1:17" s="500" customFormat="1" ht="24.95" customHeight="1">
      <c r="A31" s="282" t="s">
        <v>26</v>
      </c>
      <c r="B31" s="283" t="s">
        <v>282</v>
      </c>
      <c r="C31" s="284">
        <f>VLOOKUP($A31,연도별!$A$2:$K$36,3,0)</f>
        <v>95.376523675943275</v>
      </c>
      <c r="D31" s="284">
        <f>VLOOKUP($A31,연도별!$A$2:$K$36,4,0)</f>
        <v>96.400918344126936</v>
      </c>
      <c r="E31" s="284">
        <f>VLOOKUP($A31,연도별!$A$2:$K$36,6,0)</f>
        <v>96.80257352941176</v>
      </c>
      <c r="F31" s="284">
        <f>VLOOKUP($A31,연도별!$A$2:$K$36,10,0)</f>
        <v>95.620412458223882</v>
      </c>
      <c r="G31" s="435">
        <f>VLOOKUP($A31,'목표(창구+집배)'!$A$3:$K$37,11,0)</f>
        <v>95.199999999999989</v>
      </c>
      <c r="H31" s="497">
        <f t="shared" si="0"/>
        <v>-0.17652367594328666</v>
      </c>
      <c r="I31" s="498">
        <f t="shared" si="1"/>
        <v>-1.2009183441269471</v>
      </c>
      <c r="J31" s="498">
        <f>G31-'[1]16 목표배정안'!J31</f>
        <v>-1.0219230769230876</v>
      </c>
      <c r="K31" s="499">
        <f t="shared" si="2"/>
        <v>101.26146884887284</v>
      </c>
      <c r="M31" s="516">
        <f>VLOOKUP($A31,연도별!$A$2:$AH$36,4,0)</f>
        <v>96.400918344126936</v>
      </c>
      <c r="N31" s="516">
        <f>VLOOKUP($A31,연도별!$A$2:$AH$36,13,0)</f>
        <v>95.594348507986851</v>
      </c>
      <c r="O31" s="516">
        <f>VLOOKUP($A31,연도별!$A$2:$AH$36,22,0)</f>
        <v>96.54972961066116</v>
      </c>
      <c r="P31" s="262">
        <f t="shared" si="3"/>
        <v>95.226822550125831</v>
      </c>
      <c r="Q31" s="514">
        <f t="shared" si="4"/>
        <v>-2.6822550125842781E-2</v>
      </c>
    </row>
    <row r="32" spans="1:17" s="500" customFormat="1" ht="24.95" customHeight="1">
      <c r="A32" s="282" t="s">
        <v>27</v>
      </c>
      <c r="B32" s="283" t="s">
        <v>282</v>
      </c>
      <c r="C32" s="284">
        <f>VLOOKUP($A32,연도별!$A$2:$K$36,3,0)</f>
        <v>94.164888874498729</v>
      </c>
      <c r="D32" s="284">
        <f>VLOOKUP($A32,연도별!$A$2:$K$36,4,0)</f>
        <v>95.38640601312963</v>
      </c>
      <c r="E32" s="284">
        <f>VLOOKUP($A32,연도별!$A$2:$K$36,6,0)</f>
        <v>95.240934065934056</v>
      </c>
      <c r="F32" s="284">
        <f>VLOOKUP($A32,연도별!$A$2:$K$36,10,0)</f>
        <v>95.488341751180968</v>
      </c>
      <c r="G32" s="435">
        <f>VLOOKUP($A32,'목표(창구+집배)'!$A$3:$K$37,11,0)</f>
        <v>94.699999999999989</v>
      </c>
      <c r="H32" s="497">
        <f t="shared" si="0"/>
        <v>0.53511112550125972</v>
      </c>
      <c r="I32" s="498">
        <f t="shared" si="1"/>
        <v>-0.68640601312964122</v>
      </c>
      <c r="J32" s="498">
        <f>G32-'[1]16 목표배정안'!J32</f>
        <v>-1.0450000000000159</v>
      </c>
      <c r="K32" s="499">
        <f t="shared" si="2"/>
        <v>100.72482155557512</v>
      </c>
      <c r="M32" s="516">
        <f>VLOOKUP($A32,연도별!$A$2:$AH$36,4,0)</f>
        <v>95.38640601312963</v>
      </c>
      <c r="N32" s="516">
        <f>VLOOKUP($A32,연도별!$A$2:$AH$36,13,0)</f>
        <v>94.164888874498729</v>
      </c>
      <c r="O32" s="516">
        <f>VLOOKUP($A32,연도별!$A$2:$AH$36,22,0)</f>
        <v>94.479677356748169</v>
      </c>
      <c r="P32" s="262">
        <f t="shared" si="3"/>
        <v>93.890219088861429</v>
      </c>
      <c r="Q32" s="514">
        <f t="shared" si="4"/>
        <v>0.8097809111385601</v>
      </c>
    </row>
    <row r="33" spans="1:17" s="500" customFormat="1" ht="24.95" customHeight="1">
      <c r="A33" s="282" t="s">
        <v>28</v>
      </c>
      <c r="B33" s="283" t="s">
        <v>282</v>
      </c>
      <c r="C33" s="284">
        <f>VLOOKUP($A33,연도별!$A$2:$K$36,3,0)</f>
        <v>94.35136791254898</v>
      </c>
      <c r="D33" s="284">
        <f>VLOOKUP($A33,연도별!$A$2:$K$36,4,0)</f>
        <v>96.431003935533766</v>
      </c>
      <c r="E33" s="284">
        <f>VLOOKUP($A33,연도별!$A$2:$K$36,6,0)</f>
        <v>96.330502702219832</v>
      </c>
      <c r="F33" s="284">
        <f>VLOOKUP($A33,연도별!$A$2:$K$36,10,0)</f>
        <v>96.32424242521968</v>
      </c>
      <c r="G33" s="435">
        <f>VLOOKUP($A33,'목표(창구+집배)'!$A$3:$K$37,11,0)</f>
        <v>95.199999999999989</v>
      </c>
      <c r="H33" s="497">
        <f t="shared" si="0"/>
        <v>0.84863208745100849</v>
      </c>
      <c r="I33" s="498">
        <f t="shared" si="1"/>
        <v>-1.2310039355337778</v>
      </c>
      <c r="J33" s="498">
        <f>G33-'[1]16 목표배정안'!J33</f>
        <v>-1.0037499999999966</v>
      </c>
      <c r="K33" s="499">
        <f t="shared" si="2"/>
        <v>101.29307136085481</v>
      </c>
      <c r="M33" s="516">
        <f>VLOOKUP($A33,연도별!$A$2:$AH$36,4,0)</f>
        <v>96.431003935533766</v>
      </c>
      <c r="N33" s="516">
        <f>VLOOKUP($A33,연도별!$A$2:$AH$36,13,0)</f>
        <v>94.941110321880132</v>
      </c>
      <c r="O33" s="516">
        <f>VLOOKUP($A33,연도별!$A$2:$AH$36,22,0)</f>
        <v>93.585458701121794</v>
      </c>
      <c r="P33" s="262">
        <f t="shared" si="3"/>
        <v>94.460777536509724</v>
      </c>
      <c r="Q33" s="514">
        <f t="shared" si="4"/>
        <v>0.73922246349026466</v>
      </c>
    </row>
    <row r="34" spans="1:17" s="500" customFormat="1" ht="24.95" customHeight="1">
      <c r="A34" s="282" t="s">
        <v>29</v>
      </c>
      <c r="B34" s="283" t="s">
        <v>282</v>
      </c>
      <c r="C34" s="284">
        <f>VLOOKUP($A34,연도별!$A$2:$K$36,3,0)</f>
        <v>94.889039719383476</v>
      </c>
      <c r="D34" s="284">
        <f>VLOOKUP($A34,연도별!$A$2:$K$36,4,0)</f>
        <v>96.568427162825387</v>
      </c>
      <c r="E34" s="284">
        <f>VLOOKUP($A34,연도별!$A$2:$K$36,6,0)</f>
        <v>96.363200370808983</v>
      </c>
      <c r="F34" s="284">
        <f>VLOOKUP($A34,연도별!$A$2:$K$36,10,0)</f>
        <v>96.465067340402342</v>
      </c>
      <c r="G34" s="435">
        <f>VLOOKUP($A34,'목표(창구+집배)'!$A$3:$K$37,11,0)</f>
        <v>94.699999999999989</v>
      </c>
      <c r="H34" s="497">
        <f t="shared" si="0"/>
        <v>-0.18903971938348718</v>
      </c>
      <c r="I34" s="498">
        <f t="shared" si="1"/>
        <v>-1.8684271628253981</v>
      </c>
      <c r="J34" s="498">
        <f>G34-'[1]16 목표배정안'!J34</f>
        <v>-1.1527777777777857</v>
      </c>
      <c r="K34" s="499">
        <f t="shared" si="2"/>
        <v>101.97299594807328</v>
      </c>
      <c r="M34" s="516">
        <f>VLOOKUP($A34,연도별!$A$2:$AH$36,4,0)</f>
        <v>96.568427162825387</v>
      </c>
      <c r="N34" s="516">
        <f>VLOOKUP($A34,연도별!$A$2:$AH$36,13,0)</f>
        <v>95.417879940454725</v>
      </c>
      <c r="O34" s="516">
        <f>VLOOKUP($A34,연도별!$A$2:$AH$36,22,0)</f>
        <v>95.148859852471531</v>
      </c>
      <c r="P34" s="262">
        <f t="shared" si="3"/>
        <v>94.97995603870298</v>
      </c>
      <c r="Q34" s="514">
        <f t="shared" si="4"/>
        <v>-0.27995603870299135</v>
      </c>
    </row>
    <row r="35" spans="1:17" s="500" customFormat="1" ht="24.95" customHeight="1">
      <c r="A35" s="282" t="s">
        <v>30</v>
      </c>
      <c r="B35" s="283" t="s">
        <v>282</v>
      </c>
      <c r="C35" s="284">
        <f>VLOOKUP($A35,연도별!$A$2:$K$36,3,0)</f>
        <v>95.713559513887063</v>
      </c>
      <c r="D35" s="284">
        <f>VLOOKUP($A35,연도별!$A$2:$K$36,4,0)</f>
        <v>96.778287168214533</v>
      </c>
      <c r="E35" s="284">
        <f>VLOOKUP($A35,연도별!$A$2:$K$36,6,0)</f>
        <v>96.153996376313017</v>
      </c>
      <c r="F35" s="284">
        <f>VLOOKUP($A35,연도별!$A$2:$K$36,10,0)</f>
        <v>97.105555556770213</v>
      </c>
      <c r="G35" s="435">
        <f>VLOOKUP($A35,'목표(창구+집배)'!$A$3:$K$37,11,0)</f>
        <v>95.199999999999989</v>
      </c>
      <c r="H35" s="497">
        <f t="shared" si="0"/>
        <v>-0.5135595138870741</v>
      </c>
      <c r="I35" s="498">
        <f t="shared" si="1"/>
        <v>-1.5782871682145441</v>
      </c>
      <c r="J35" s="498">
        <f>G35-'[1]16 목표배정안'!J35</f>
        <v>-0.84285714285715585</v>
      </c>
      <c r="K35" s="499">
        <f t="shared" si="2"/>
        <v>101.65786467249427</v>
      </c>
      <c r="M35" s="516">
        <f>VLOOKUP($A35,연도별!$A$2:$AH$36,4,0)</f>
        <v>96.778287168214533</v>
      </c>
      <c r="N35" s="516">
        <f>VLOOKUP($A35,연도별!$A$2:$AH$36,13,0)</f>
        <v>96.328656925393744</v>
      </c>
      <c r="O35" s="516">
        <f>VLOOKUP($A35,연도별!$A$2:$AH$36,22,0)</f>
        <v>96.836413691464728</v>
      </c>
      <c r="P35" s="262">
        <f t="shared" si="3"/>
        <v>95.688473166018156</v>
      </c>
      <c r="Q35" s="514">
        <f t="shared" si="4"/>
        <v>-0.48847316601816715</v>
      </c>
    </row>
    <row r="36" spans="1:17" s="500" customFormat="1" ht="24.95" customHeight="1">
      <c r="A36" s="282" t="s">
        <v>31</v>
      </c>
      <c r="B36" s="283" t="s">
        <v>282</v>
      </c>
      <c r="C36" s="284">
        <f>VLOOKUP($A36,연도별!$A$2:$K$36,3,0)</f>
        <v>95.701517859393533</v>
      </c>
      <c r="D36" s="284">
        <f>VLOOKUP($A36,연도별!$A$2:$K$36,4,0)</f>
        <v>96.999133373067707</v>
      </c>
      <c r="E36" s="284">
        <f>VLOOKUP($A36,연도별!$A$2:$K$36,6,0)</f>
        <v>96.146259431069794</v>
      </c>
      <c r="F36" s="284">
        <f>VLOOKUP($A36,연도별!$A$2:$K$36,10,0)</f>
        <v>97.799284512230642</v>
      </c>
      <c r="G36" s="435">
        <f>VLOOKUP($A36,'목표(창구+집배)'!$A$3:$K$37,11,0)</f>
        <v>95.199999999999989</v>
      </c>
      <c r="H36" s="497">
        <f t="shared" si="0"/>
        <v>-0.50151785939354454</v>
      </c>
      <c r="I36" s="498">
        <f t="shared" si="1"/>
        <v>-1.7991333730677184</v>
      </c>
      <c r="J36" s="498">
        <f>G36-'[1]16 목표배정안'!J36</f>
        <v>-1.0405555555555566</v>
      </c>
      <c r="K36" s="499">
        <f t="shared" si="2"/>
        <v>101.88984598011315</v>
      </c>
      <c r="M36" s="516">
        <f>VLOOKUP($A36,연도별!$A$2:$AH$36,4,0)</f>
        <v>96.999133373067707</v>
      </c>
      <c r="N36" s="516">
        <f>VLOOKUP($A36,연도별!$A$2:$AH$36,13,0)</f>
        <v>95.752605524653248</v>
      </c>
      <c r="O36" s="516">
        <f>VLOOKUP($A36,연도별!$A$2:$AH$36,22,0)</f>
        <v>96.42307578954356</v>
      </c>
      <c r="P36" s="262">
        <f t="shared" si="3"/>
        <v>95.544863866820151</v>
      </c>
      <c r="Q36" s="514">
        <f t="shared" si="4"/>
        <v>-0.34486386682016246</v>
      </c>
    </row>
    <row r="37" spans="1:17" ht="24.95" customHeight="1" thickBot="1">
      <c r="A37" s="260" t="s">
        <v>313</v>
      </c>
      <c r="B37" s="261"/>
      <c r="C37" s="286">
        <f>AVERAGE(C5:C36)</f>
        <v>94.29112451047034</v>
      </c>
      <c r="D37" s="286">
        <f t="shared" ref="D37:G37" si="5">AVERAGE(D5:D36)</f>
        <v>96.019562935794255</v>
      </c>
      <c r="E37" s="286">
        <f t="shared" si="5"/>
        <v>95.210871211900468</v>
      </c>
      <c r="F37" s="286">
        <f t="shared" si="5"/>
        <v>96.580971810824352</v>
      </c>
      <c r="G37" s="436">
        <f t="shared" si="5"/>
        <v>94.409374999999955</v>
      </c>
      <c r="H37" s="434">
        <f>AVERAGE(H5:H36)</f>
        <v>0.11825048952965567</v>
      </c>
      <c r="I37" s="288">
        <f>AVERAGE(I5:I36)</f>
        <v>-1.6101879357942952</v>
      </c>
      <c r="J37" s="288">
        <f>AVERAGE(J5:J36)</f>
        <v>-1.0444063293589494</v>
      </c>
      <c r="K37" s="289">
        <f t="shared" si="2"/>
        <v>101.70553817965038</v>
      </c>
      <c r="M37" s="516">
        <f>AVERAGE(M5:M36)</f>
        <v>96.019562935794255</v>
      </c>
      <c r="N37" s="516">
        <f t="shared" ref="N37:O37" si="6">AVERAGE(N5:N36)</f>
        <v>94.824019690815746</v>
      </c>
      <c r="O37" s="516">
        <f t="shared" si="6"/>
        <v>94.714948854887169</v>
      </c>
      <c r="P37" s="515">
        <f>AVERAGE(P5:P36)</f>
        <v>94.445977374658071</v>
      </c>
      <c r="Q37" s="514">
        <f t="shared" si="4"/>
        <v>-3.6602374658116332E-2</v>
      </c>
    </row>
    <row r="38" spans="1:17" ht="24.95" customHeight="1" thickTop="1"/>
    <row r="39" spans="1:17" ht="24.95" customHeight="1">
      <c r="A39" s="496" t="s">
        <v>395</v>
      </c>
    </row>
    <row r="40" spans="1:17" ht="24.95" customHeight="1">
      <c r="A40" s="420" t="s">
        <v>399</v>
      </c>
      <c r="B40" s="420" t="s">
        <v>396</v>
      </c>
      <c r="C40" s="420" t="s">
        <v>401</v>
      </c>
    </row>
    <row r="41" spans="1:17" ht="24.95" customHeight="1">
      <c r="A41" s="217" t="s">
        <v>398</v>
      </c>
      <c r="B41" s="262">
        <f>STDEV(P5:P20)</f>
        <v>0.53102539482574795</v>
      </c>
      <c r="C41" s="262">
        <f>STDEV(G5:G20)</f>
        <v>0.37500000000517403</v>
      </c>
    </row>
    <row r="42" spans="1:17" ht="24.95" customHeight="1">
      <c r="A42" s="217" t="s">
        <v>397</v>
      </c>
      <c r="B42" s="262">
        <f>STDEV(P21:P36)</f>
        <v>0.71699040770298983</v>
      </c>
      <c r="C42" s="263">
        <f>STDEV(G21:G36)</f>
        <v>0.32964627505739552</v>
      </c>
    </row>
  </sheetData>
  <autoFilter ref="A3:K37">
    <filterColumn colId="2" showButton="0"/>
    <filterColumn colId="3" showButton="0"/>
    <filterColumn colId="4" showButton="0"/>
    <filterColumn colId="7" showButton="0"/>
  </autoFilter>
  <mergeCells count="9">
    <mergeCell ref="M3:Q3"/>
    <mergeCell ref="K3:K4"/>
    <mergeCell ref="A1:K1"/>
    <mergeCell ref="G3:G4"/>
    <mergeCell ref="H3:I3"/>
    <mergeCell ref="J3:J4"/>
    <mergeCell ref="A3:A4"/>
    <mergeCell ref="B3:B4"/>
    <mergeCell ref="C3:F3"/>
  </mergeCells>
  <phoneticPr fontId="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68" orientation="portrait" r:id="rId1"/>
  <ignoredErrors>
    <ignoredError sqref="B41:B4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B45"/>
  <sheetViews>
    <sheetView zoomScaleNormal="100" workbookViewId="0">
      <pane xSplit="1" ySplit="10" topLeftCell="O26" activePane="bottomRight" state="frozen"/>
      <selection pane="topRight" activeCell="B1" sqref="B1"/>
      <selection pane="bottomLeft" activeCell="A11" sqref="A11"/>
      <selection pane="bottomRight" activeCell="Y11" sqref="Y11"/>
    </sheetView>
  </sheetViews>
  <sheetFormatPr defaultRowHeight="21.95" customHeight="1"/>
  <cols>
    <col min="1" max="1" width="13.5" style="304" customWidth="1"/>
    <col min="2" max="23" width="9.625" style="304" customWidth="1"/>
    <col min="24" max="24" width="9.625" style="383" customWidth="1"/>
    <col min="25" max="25" width="9.625" style="384" customWidth="1"/>
    <col min="26" max="26" width="5.5" style="291" bestFit="1" customWidth="1"/>
    <col min="27" max="27" width="5.5" style="304" bestFit="1" customWidth="1"/>
    <col min="28" max="16384" width="9" style="304"/>
  </cols>
  <sheetData>
    <row r="1" spans="1:28" s="291" customFormat="1" ht="41.25" customHeight="1">
      <c r="A1" s="606" t="s">
        <v>447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/>
      <c r="AB1" s="606"/>
    </row>
    <row r="2" spans="1:28" ht="22.5" customHeight="1" thickBot="1">
      <c r="A2" s="304">
        <v>1</v>
      </c>
      <c r="B2" s="304">
        <v>2</v>
      </c>
      <c r="C2" s="304">
        <v>3</v>
      </c>
      <c r="D2" s="304">
        <v>4</v>
      </c>
      <c r="E2" s="304">
        <v>5</v>
      </c>
      <c r="F2" s="304">
        <v>6</v>
      </c>
      <c r="G2" s="304">
        <v>7</v>
      </c>
      <c r="H2" s="304">
        <v>8</v>
      </c>
      <c r="I2" s="304">
        <v>9</v>
      </c>
      <c r="J2" s="304">
        <v>10</v>
      </c>
      <c r="K2" s="304">
        <v>11</v>
      </c>
      <c r="L2" s="304">
        <v>12</v>
      </c>
      <c r="M2" s="304">
        <v>13</v>
      </c>
      <c r="N2" s="304">
        <v>14</v>
      </c>
      <c r="O2" s="304">
        <v>15</v>
      </c>
      <c r="P2" s="304">
        <v>16</v>
      </c>
      <c r="Q2" s="304">
        <v>17</v>
      </c>
      <c r="R2" s="304">
        <v>18</v>
      </c>
      <c r="S2" s="304">
        <v>19</v>
      </c>
      <c r="T2" s="304">
        <v>20</v>
      </c>
      <c r="U2" s="304">
        <v>21</v>
      </c>
      <c r="V2" s="304">
        <v>22</v>
      </c>
      <c r="W2" s="304">
        <v>23</v>
      </c>
      <c r="X2" s="304">
        <v>24</v>
      </c>
      <c r="Y2" s="304">
        <v>25</v>
      </c>
      <c r="Z2" s="304">
        <v>26</v>
      </c>
      <c r="AA2" s="304">
        <v>27</v>
      </c>
      <c r="AB2" s="304">
        <v>28</v>
      </c>
    </row>
    <row r="3" spans="1:28" s="291" customFormat="1" ht="24.95" customHeight="1">
      <c r="A3" s="621" t="s">
        <v>315</v>
      </c>
      <c r="B3" s="625" t="s">
        <v>328</v>
      </c>
      <c r="C3" s="626"/>
      <c r="D3" s="626"/>
      <c r="E3" s="626"/>
      <c r="F3" s="626"/>
      <c r="G3" s="626"/>
      <c r="H3" s="626"/>
      <c r="I3" s="626"/>
      <c r="J3" s="626"/>
      <c r="K3" s="627"/>
      <c r="L3" s="627"/>
      <c r="M3" s="628" t="s">
        <v>316</v>
      </c>
      <c r="N3" s="626"/>
      <c r="O3" s="626"/>
      <c r="P3" s="626"/>
      <c r="Q3" s="629"/>
      <c r="R3" s="618" t="s">
        <v>404</v>
      </c>
      <c r="S3" s="619"/>
      <c r="T3" s="619"/>
      <c r="U3" s="619"/>
      <c r="V3" s="619"/>
      <c r="W3" s="619"/>
      <c r="X3" s="619"/>
      <c r="Y3" s="619"/>
      <c r="Z3" s="619"/>
      <c r="AA3" s="619"/>
      <c r="AB3" s="620"/>
    </row>
    <row r="4" spans="1:28" s="291" customFormat="1" ht="24.95" customHeight="1" thickBot="1">
      <c r="A4" s="622"/>
      <c r="B4" s="630" t="s">
        <v>317</v>
      </c>
      <c r="C4" s="577"/>
      <c r="D4" s="599" t="s">
        <v>348</v>
      </c>
      <c r="E4" s="615"/>
      <c r="F4" s="615"/>
      <c r="G4" s="615"/>
      <c r="H4" s="632"/>
      <c r="I4" s="600" t="s">
        <v>320</v>
      </c>
      <c r="J4" s="630"/>
      <c r="K4" s="577"/>
      <c r="L4" s="612" t="s">
        <v>349</v>
      </c>
      <c r="M4" s="576" t="s">
        <v>350</v>
      </c>
      <c r="N4" s="577"/>
      <c r="O4" s="574" t="s">
        <v>348</v>
      </c>
      <c r="P4" s="574" t="s">
        <v>351</v>
      </c>
      <c r="Q4" s="612" t="s">
        <v>349</v>
      </c>
      <c r="R4" s="614" t="s">
        <v>444</v>
      </c>
      <c r="S4" s="615"/>
      <c r="T4" s="615"/>
      <c r="U4" s="577"/>
      <c r="V4" s="607" t="s">
        <v>352</v>
      </c>
      <c r="W4" s="608"/>
      <c r="X4" s="608"/>
      <c r="Y4" s="608"/>
      <c r="Z4" s="608"/>
      <c r="AA4" s="608"/>
      <c r="AB4" s="609"/>
    </row>
    <row r="5" spans="1:28" s="291" customFormat="1" ht="24.95" customHeight="1" thickTop="1">
      <c r="A5" s="623"/>
      <c r="B5" s="631"/>
      <c r="C5" s="579"/>
      <c r="D5" s="605" t="s">
        <v>318</v>
      </c>
      <c r="E5" s="605"/>
      <c r="F5" s="605" t="s">
        <v>319</v>
      </c>
      <c r="G5" s="605"/>
      <c r="H5" s="574" t="s">
        <v>353</v>
      </c>
      <c r="I5" s="633"/>
      <c r="J5" s="631"/>
      <c r="K5" s="579"/>
      <c r="L5" s="613"/>
      <c r="M5" s="578"/>
      <c r="N5" s="579"/>
      <c r="O5" s="575"/>
      <c r="P5" s="575"/>
      <c r="Q5" s="613"/>
      <c r="R5" s="603" t="s">
        <v>354</v>
      </c>
      <c r="S5" s="605" t="s">
        <v>355</v>
      </c>
      <c r="T5" s="599" t="s">
        <v>356</v>
      </c>
      <c r="U5" s="601" t="s">
        <v>357</v>
      </c>
      <c r="V5" s="588" t="s">
        <v>358</v>
      </c>
      <c r="W5" s="589" t="s">
        <v>359</v>
      </c>
      <c r="X5" s="590" t="s">
        <v>360</v>
      </c>
      <c r="Y5" s="616" t="s">
        <v>357</v>
      </c>
      <c r="Z5" s="586" t="s">
        <v>361</v>
      </c>
      <c r="AA5" s="582" t="s">
        <v>362</v>
      </c>
      <c r="AB5" s="610" t="s">
        <v>402</v>
      </c>
    </row>
    <row r="6" spans="1:28" s="291" customFormat="1" ht="24.95" customHeight="1" thickBot="1">
      <c r="A6" s="624"/>
      <c r="B6" s="292" t="s">
        <v>363</v>
      </c>
      <c r="C6" s="293" t="s">
        <v>364</v>
      </c>
      <c r="D6" s="293" t="s">
        <v>321</v>
      </c>
      <c r="E6" s="293" t="s">
        <v>322</v>
      </c>
      <c r="F6" s="293" t="s">
        <v>321</v>
      </c>
      <c r="G6" s="293" t="s">
        <v>322</v>
      </c>
      <c r="H6" s="575"/>
      <c r="I6" s="293" t="s">
        <v>321</v>
      </c>
      <c r="J6" s="293" t="s">
        <v>322</v>
      </c>
      <c r="K6" s="294" t="s">
        <v>365</v>
      </c>
      <c r="L6" s="613"/>
      <c r="M6" s="295" t="s">
        <v>366</v>
      </c>
      <c r="N6" s="296" t="s">
        <v>367</v>
      </c>
      <c r="O6" s="575"/>
      <c r="P6" s="575"/>
      <c r="Q6" s="613"/>
      <c r="R6" s="604"/>
      <c r="S6" s="574"/>
      <c r="T6" s="600"/>
      <c r="U6" s="602"/>
      <c r="V6" s="577"/>
      <c r="W6" s="574"/>
      <c r="X6" s="591"/>
      <c r="Y6" s="617"/>
      <c r="Z6" s="587"/>
      <c r="AA6" s="583"/>
      <c r="AB6" s="611"/>
    </row>
    <row r="7" spans="1:28" ht="24.95" customHeight="1">
      <c r="A7" s="297" t="s">
        <v>368</v>
      </c>
      <c r="B7" s="298">
        <f>VLOOKUP($A$7,[2]정리!$A$4:$N$4,8,FALSE)</f>
        <v>94.178584905660387</v>
      </c>
      <c r="C7" s="299">
        <f>VLOOKUP($A$7,[2]정리!$A$4:$N$4,9,FALSE)</f>
        <v>95.572255192878416</v>
      </c>
      <c r="D7" s="299">
        <f>VLOOKUP($A$7,[2]정리!$A$4:$N$4,5,FALSE)</f>
        <v>93.760904255319218</v>
      </c>
      <c r="E7" s="299">
        <f>VLOOKUP($A$7,[2]정리!$A$4:$N$4,6,FALSE)</f>
        <v>95.189203925845149</v>
      </c>
      <c r="F7" s="299">
        <f>VLOOKUP($A$7,[2]정리!$A$4:$N$4,2,FALSE)</f>
        <v>94.779166666666654</v>
      </c>
      <c r="G7" s="299">
        <f>VLOOKUP($A$7,[2]정리!$A$4:$N$4,3,FALSE)</f>
        <v>96.607926829268351</v>
      </c>
      <c r="H7" s="299">
        <v>95.3</v>
      </c>
      <c r="I7" s="299">
        <f>VLOOKUP($A$7,[2]정리!$A$4:$N$4,11,FALSE)</f>
        <v>94.521656050955357</v>
      </c>
      <c r="J7" s="299">
        <f>VLOOKUP($A$7,[2]정리!$A$4:$N$4,12,FALSE)</f>
        <v>95.210280373831765</v>
      </c>
      <c r="K7" s="299">
        <f>VLOOKUP($A$7,[2]정리!$A$4:$N$4,13,FALSE)</f>
        <v>94.696674584323034</v>
      </c>
      <c r="L7" s="300">
        <f>VLOOKUP($A$7,[2]정리!$A$4:$N$4,14,FALSE)</f>
        <v>95.041309719933992</v>
      </c>
      <c r="M7" s="301">
        <f>SUM(M11:M42)</f>
        <v>1144</v>
      </c>
      <c r="N7" s="302">
        <f>SUM(N11:N42)</f>
        <v>616</v>
      </c>
      <c r="O7" s="302">
        <f>SUM(O11:O42)</f>
        <v>2712</v>
      </c>
      <c r="P7" s="302">
        <f>SUM(P11:P42)</f>
        <v>412</v>
      </c>
      <c r="Q7" s="303">
        <f>M7+N7+O7+P7</f>
        <v>4884</v>
      </c>
      <c r="R7" s="593">
        <f>L7</f>
        <v>95.041309719933992</v>
      </c>
      <c r="S7" s="565">
        <f>L8</f>
        <v>94.541337845909041</v>
      </c>
      <c r="T7" s="596">
        <f>L9</f>
        <v>94.462245456808461</v>
      </c>
      <c r="U7" s="571">
        <f>R7*0.5+S7*0.3+T7*0.2</f>
        <v>94.775505305101404</v>
      </c>
      <c r="V7" s="562">
        <f>(B7*M7/Q7+C7*N7/Q7+(D7*D10+E7*E10+F7*F10+G7*G10)*O7/Q7/H10+(I10*I7+J10*J7)*P7/Q7/K10)</f>
        <v>95.033201800969962</v>
      </c>
      <c r="W7" s="565">
        <f>B8*M10+C8*N10+(D8*D10+E8*E10+F8*F10+G8*G10)*O10/H10+(I8*I10+J8*J10)*P10/K10</f>
        <v>94.536466572264118</v>
      </c>
      <c r="X7" s="568">
        <f>B9*M10+C9*N10+(D9*D10+E9*E10+F9*F10+G9*G10)*O10/H10+(I9*I10+J9*J10)*P10/K10</f>
        <v>94.534971222748055</v>
      </c>
      <c r="Y7" s="571">
        <f>V7*0.5+W7*0.3+X7*0.2</f>
        <v>94.784535116713826</v>
      </c>
      <c r="Z7" s="482"/>
      <c r="AA7" s="483"/>
      <c r="AB7" s="559">
        <f>ROUNDUP(AVERAGE(AB11:AB42),1)</f>
        <v>95</v>
      </c>
    </row>
    <row r="8" spans="1:28" ht="24.95" customHeight="1">
      <c r="A8" s="305" t="s">
        <v>369</v>
      </c>
      <c r="B8" s="306">
        <f>VLOOKUP($A$8,[3]정리!$A$3:$N$3,2,FALSE)</f>
        <v>93.911342281879172</v>
      </c>
      <c r="C8" s="307">
        <f>VLOOKUP($A$8,[3]정리!$A$3:$N$3,3,FALSE)</f>
        <v>95.011189024390191</v>
      </c>
      <c r="D8" s="307">
        <f>VLOOKUP($A$8,[3]정리!$A$3:$N$3,5,FALSE)</f>
        <v>92.744115384615327</v>
      </c>
      <c r="E8" s="307">
        <f>VLOOKUP($A$8,[3]정리!$A$3:$N$3,6,FALSE)</f>
        <v>94.957355996222859</v>
      </c>
      <c r="F8" s="307">
        <f>VLOOKUP($A$8,[3]정리!$A$3:$N$3,8,FALSE)</f>
        <v>94.03125</v>
      </c>
      <c r="G8" s="307">
        <f>VLOOKUP($A$8,[3]정리!$A$3:$N$3,9,FALSE)</f>
        <v>96.422444889779584</v>
      </c>
      <c r="H8" s="307">
        <v>94.85</v>
      </c>
      <c r="I8" s="307">
        <f>VLOOKUP($A$8,[3]정리!$A$3:$N$3,11,FALSE)</f>
        <v>93.139635258358652</v>
      </c>
      <c r="J8" s="307">
        <f>VLOOKUP($A$8,[3]정리!$A$3:$N$3,12,FALSE)</f>
        <v>93.799818181818182</v>
      </c>
      <c r="K8" s="307">
        <f>VLOOKUP($A$8,[3]정리!$A$3:$N$3,13,FALSE)</f>
        <v>93.305056947608207</v>
      </c>
      <c r="L8" s="308">
        <f>VLOOKUP($A$8,[3]정리!$A$3:$N$3,14,FALSE)</f>
        <v>94.541337845909041</v>
      </c>
      <c r="M8" s="309">
        <v>1144</v>
      </c>
      <c r="N8" s="310">
        <v>616</v>
      </c>
      <c r="O8" s="310">
        <v>2744</v>
      </c>
      <c r="P8" s="310">
        <v>412</v>
      </c>
      <c r="Q8" s="311">
        <v>4916</v>
      </c>
      <c r="R8" s="594"/>
      <c r="S8" s="566"/>
      <c r="T8" s="597"/>
      <c r="U8" s="572"/>
      <c r="V8" s="563"/>
      <c r="W8" s="566"/>
      <c r="X8" s="569"/>
      <c r="Y8" s="572"/>
      <c r="Z8" s="484"/>
      <c r="AA8" s="485"/>
      <c r="AB8" s="560"/>
    </row>
    <row r="9" spans="1:28" ht="24.95" customHeight="1">
      <c r="A9" s="305" t="s">
        <v>370</v>
      </c>
      <c r="B9" s="306">
        <f>VLOOKUP($A$9,[4]정리!$A$4:$N$4,8,FALSE)</f>
        <v>93.362206673842763</v>
      </c>
      <c r="C9" s="307">
        <f>VLOOKUP($A$9,[4]정리!$A$4:$N$4,9,FALSE)</f>
        <v>94.585307167235541</v>
      </c>
      <c r="D9" s="307">
        <f>VLOOKUP($A$9,[4]정리!$A$4:$N$4,5,FALSE)</f>
        <v>93.009290989660329</v>
      </c>
      <c r="E9" s="307">
        <f>VLOOKUP($A$9,[4]정리!$A$4:$N$4,6,FALSE)</f>
        <v>95.049560975609737</v>
      </c>
      <c r="F9" s="307">
        <f>VLOOKUP($A$9,[4]정리!$A$4:$N$4,2,FALSE)</f>
        <v>94.532777777777795</v>
      </c>
      <c r="G9" s="307">
        <f>VLOOKUP($A$9,[4]정리!$A$4:$N$4,3,FALSE)</f>
        <v>96.275564853556489</v>
      </c>
      <c r="H9" s="307">
        <v>94.82</v>
      </c>
      <c r="I9" s="307">
        <f>VLOOKUP($A$9,[4]정리!$A$4:$N$4,11,FALSE)</f>
        <v>94.489153439153441</v>
      </c>
      <c r="J9" s="307">
        <f>VLOOKUP($A$9,[4]정리!$A$4:$N$4,12,FALSE)</f>
        <v>96.749523809523808</v>
      </c>
      <c r="K9" s="307">
        <f>VLOOKUP($A$9,[4]정리!$A$4:$N$4,13,FALSE)</f>
        <v>95.054246031746075</v>
      </c>
      <c r="L9" s="312">
        <f>VLOOKUP($A$9,[4]정리!$A$4:$N$4,14,FALSE)</f>
        <v>94.462245456808461</v>
      </c>
      <c r="M9" s="309">
        <v>1144</v>
      </c>
      <c r="N9" s="310">
        <v>616</v>
      </c>
      <c r="O9" s="310">
        <v>2744</v>
      </c>
      <c r="P9" s="310">
        <v>412</v>
      </c>
      <c r="Q9" s="311">
        <v>4916</v>
      </c>
      <c r="R9" s="594"/>
      <c r="S9" s="566"/>
      <c r="T9" s="597"/>
      <c r="U9" s="572"/>
      <c r="V9" s="563"/>
      <c r="W9" s="566"/>
      <c r="X9" s="569"/>
      <c r="Y9" s="572"/>
      <c r="Z9" s="484"/>
      <c r="AA9" s="485"/>
      <c r="AB9" s="560"/>
    </row>
    <row r="10" spans="1:28" ht="24.95" customHeight="1" thickBot="1">
      <c r="A10" s="313" t="s">
        <v>371</v>
      </c>
      <c r="B10" s="314">
        <f t="shared" ref="B10:G10" si="0">SUM(B11:B42)</f>
        <v>18</v>
      </c>
      <c r="C10" s="315">
        <f t="shared" si="0"/>
        <v>14</v>
      </c>
      <c r="D10" s="315">
        <f t="shared" si="0"/>
        <v>95</v>
      </c>
      <c r="E10" s="315">
        <f t="shared" si="0"/>
        <v>109</v>
      </c>
      <c r="F10" s="315">
        <f t="shared" si="0"/>
        <v>6</v>
      </c>
      <c r="G10" s="315">
        <f t="shared" si="0"/>
        <v>129</v>
      </c>
      <c r="H10" s="315">
        <f t="shared" ref="H10:H42" si="1">D10+E10+F10+G10</f>
        <v>339</v>
      </c>
      <c r="I10" s="315">
        <f>SUM(I11:I42)</f>
        <v>76</v>
      </c>
      <c r="J10" s="315">
        <f>SUM(J11:J42)</f>
        <v>27</v>
      </c>
      <c r="K10" s="315">
        <f t="shared" ref="K10:K42" si="2">I10+J10</f>
        <v>103</v>
      </c>
      <c r="L10" s="316">
        <f t="shared" ref="L10:L42" si="3">+B10+C10+H10+K10</f>
        <v>474</v>
      </c>
      <c r="M10" s="317">
        <f>M7/$Q$7</f>
        <v>0.23423423423423423</v>
      </c>
      <c r="N10" s="318">
        <f>N7/$Q$7</f>
        <v>0.12612612612612611</v>
      </c>
      <c r="O10" s="318">
        <f>O7/$Q$7</f>
        <v>0.55528255528255532</v>
      </c>
      <c r="P10" s="318">
        <f>P7/$Q$7</f>
        <v>8.4357084357084361E-2</v>
      </c>
      <c r="Q10" s="319">
        <f>Q7/$Q$7</f>
        <v>1</v>
      </c>
      <c r="R10" s="595"/>
      <c r="S10" s="567"/>
      <c r="T10" s="598"/>
      <c r="U10" s="573"/>
      <c r="V10" s="564"/>
      <c r="W10" s="567"/>
      <c r="X10" s="570"/>
      <c r="Y10" s="573"/>
      <c r="Z10" s="486"/>
      <c r="AA10" s="487"/>
      <c r="AB10" s="561"/>
    </row>
    <row r="11" spans="1:28" ht="24.95" customHeight="1">
      <c r="A11" s="320" t="s">
        <v>4</v>
      </c>
      <c r="B11" s="321">
        <v>1</v>
      </c>
      <c r="C11" s="322">
        <v>0</v>
      </c>
      <c r="D11" s="322">
        <v>16</v>
      </c>
      <c r="E11" s="322">
        <v>0</v>
      </c>
      <c r="F11" s="322">
        <v>1</v>
      </c>
      <c r="G11" s="322">
        <v>0</v>
      </c>
      <c r="H11" s="322">
        <f t="shared" si="1"/>
        <v>17</v>
      </c>
      <c r="I11" s="322">
        <v>9</v>
      </c>
      <c r="J11" s="322">
        <v>0</v>
      </c>
      <c r="K11" s="322">
        <f t="shared" si="2"/>
        <v>9</v>
      </c>
      <c r="L11" s="323">
        <f t="shared" si="3"/>
        <v>27</v>
      </c>
      <c r="M11" s="324">
        <f t="shared" ref="M11:M24" si="4">B11*6*11</f>
        <v>66</v>
      </c>
      <c r="N11" s="322">
        <f t="shared" ref="N11:N42" si="5">C11*4*11</f>
        <v>0</v>
      </c>
      <c r="O11" s="322">
        <f t="shared" ref="O11:O42" si="6">SUM(D11:G11)*8</f>
        <v>136</v>
      </c>
      <c r="P11" s="322">
        <f t="shared" ref="P11:P42" si="7">SUM(I11:J11)*4</f>
        <v>36</v>
      </c>
      <c r="Q11" s="325">
        <f t="shared" ref="Q11:Q42" si="8">M11+N11+O11+P11</f>
        <v>238</v>
      </c>
      <c r="R11" s="455">
        <v>93.620039249083604</v>
      </c>
      <c r="S11" s="326">
        <v>92.226064445878606</v>
      </c>
      <c r="T11" s="327">
        <v>91.622325781552263</v>
      </c>
      <c r="U11" s="392">
        <f t="shared" ref="U11:U42" si="9">R11*0.5+S11*0.3+T11*0.2</f>
        <v>92.802304114615836</v>
      </c>
      <c r="V11" s="328">
        <f>(B11*$B$7)*M11/Q11+(C11*$C$7)*N11/Q11+(D11*$D$7+E11*$E$7+F11*$F$7+G11*$G$7)*O11/Q11/H11+(I11*$I$7+J11*$J$7)*P11/Q11/K11</f>
        <v>94.026030670681394</v>
      </c>
      <c r="W11" s="326">
        <f t="shared" ref="W11:W29" si="10">B11*$B$8*M11/Q11+C11*$C$8*N11/Q11+(D11*$D$8+E11*$E$8+F11*$F$8+G11*$G$8)*O11/Q11/H11+(I11*$I$8+J11*$J$8)*P11/Q11/K11</f>
        <v>93.170891719057551</v>
      </c>
      <c r="X11" s="329">
        <f t="shared" ref="X11:X29" si="11">B11*$B$9*M11/Q11+C11*$C$9*N11/Q11+(D11*$D$9+E11*$E$9+F11*$F$9+G11*$G$9)*O11/Q11/H11+(I11*$I$9+J11*$J$9)*P11/Q11/K11</f>
        <v>93.382212744461725</v>
      </c>
      <c r="Y11" s="403">
        <f t="shared" ref="Y11:Y42" si="12">V11*0.5+W11*0.3+X11*0.2</f>
        <v>93.640725399950298</v>
      </c>
      <c r="Z11" s="397">
        <f t="shared" ref="Z11:Z42" si="13">RANK(Y11,$Y$11:$Y$42)</f>
        <v>32</v>
      </c>
      <c r="AA11" s="584" t="s">
        <v>372</v>
      </c>
      <c r="AB11" s="504">
        <f>ROUNDUP(AVERAGE($Y$11:$Y$15),1)</f>
        <v>93.8</v>
      </c>
    </row>
    <row r="12" spans="1:28" ht="24.95" customHeight="1">
      <c r="A12" s="330" t="s">
        <v>1</v>
      </c>
      <c r="B12" s="331">
        <v>1</v>
      </c>
      <c r="C12" s="332">
        <v>0</v>
      </c>
      <c r="D12" s="332">
        <v>8</v>
      </c>
      <c r="E12" s="332">
        <v>0</v>
      </c>
      <c r="F12" s="332">
        <v>0</v>
      </c>
      <c r="G12" s="332">
        <v>0</v>
      </c>
      <c r="H12" s="332">
        <f t="shared" si="1"/>
        <v>8</v>
      </c>
      <c r="I12" s="332">
        <v>7</v>
      </c>
      <c r="J12" s="332">
        <v>0</v>
      </c>
      <c r="K12" s="332">
        <f t="shared" si="2"/>
        <v>7</v>
      </c>
      <c r="L12" s="333">
        <f t="shared" si="3"/>
        <v>16</v>
      </c>
      <c r="M12" s="334">
        <f t="shared" si="4"/>
        <v>66</v>
      </c>
      <c r="N12" s="332">
        <f t="shared" si="5"/>
        <v>0</v>
      </c>
      <c r="O12" s="332">
        <f t="shared" si="6"/>
        <v>64</v>
      </c>
      <c r="P12" s="332">
        <f t="shared" si="7"/>
        <v>28</v>
      </c>
      <c r="Q12" s="335">
        <f t="shared" si="8"/>
        <v>158</v>
      </c>
      <c r="R12" s="456">
        <v>93.616139240506314</v>
      </c>
      <c r="S12" s="336">
        <v>93.074679746949556</v>
      </c>
      <c r="T12" s="337">
        <v>92.754363377738287</v>
      </c>
      <c r="U12" s="393">
        <f t="shared" si="9"/>
        <v>93.281346219885677</v>
      </c>
      <c r="V12" s="338">
        <f t="shared" ref="V12:V29" si="14">(B12*$B$7)*M12/Q12+(C12*$C$7)*N12/Q12+(D12*$D$7+E12*$E$7+F12*$F$7+G12*$G$7)*O12/Q12/H12+(I12*$I$7+J12*$J$7)*P12/Q12/K12</f>
        <v>94.070195224941543</v>
      </c>
      <c r="W12" s="336">
        <f t="shared" si="10"/>
        <v>93.301783306667403</v>
      </c>
      <c r="X12" s="339">
        <f t="shared" si="11"/>
        <v>93.418965570304934</v>
      </c>
      <c r="Y12" s="404">
        <f t="shared" si="12"/>
        <v>93.709425718531975</v>
      </c>
      <c r="Z12" s="398">
        <f t="shared" si="13"/>
        <v>31</v>
      </c>
      <c r="AA12" s="584"/>
      <c r="AB12" s="505">
        <f t="shared" ref="AB12:AB15" si="15">ROUNDUP(AVERAGE($Y$11:$Y$15),1)</f>
        <v>93.8</v>
      </c>
    </row>
    <row r="13" spans="1:28" ht="24.95" customHeight="1">
      <c r="A13" s="330" t="s">
        <v>3</v>
      </c>
      <c r="B13" s="331">
        <v>1</v>
      </c>
      <c r="C13" s="332">
        <v>0</v>
      </c>
      <c r="D13" s="332">
        <v>7</v>
      </c>
      <c r="E13" s="332">
        <v>0</v>
      </c>
      <c r="F13" s="332">
        <v>0</v>
      </c>
      <c r="G13" s="332">
        <v>0</v>
      </c>
      <c r="H13" s="332">
        <f t="shared" si="1"/>
        <v>7</v>
      </c>
      <c r="I13" s="332">
        <v>11</v>
      </c>
      <c r="J13" s="332">
        <v>0</v>
      </c>
      <c r="K13" s="332">
        <f t="shared" si="2"/>
        <v>11</v>
      </c>
      <c r="L13" s="333">
        <f t="shared" si="3"/>
        <v>19</v>
      </c>
      <c r="M13" s="334">
        <f t="shared" si="4"/>
        <v>66</v>
      </c>
      <c r="N13" s="332">
        <f t="shared" si="5"/>
        <v>0</v>
      </c>
      <c r="O13" s="332">
        <f t="shared" si="6"/>
        <v>56</v>
      </c>
      <c r="P13" s="332">
        <f t="shared" si="7"/>
        <v>44</v>
      </c>
      <c r="Q13" s="335">
        <f t="shared" si="8"/>
        <v>166</v>
      </c>
      <c r="R13" s="456">
        <v>94.527127916331438</v>
      </c>
      <c r="S13" s="336">
        <v>93.960514567686417</v>
      </c>
      <c r="T13" s="337">
        <v>92.97791408946081</v>
      </c>
      <c r="U13" s="393">
        <f t="shared" si="9"/>
        <v>94.047301146363807</v>
      </c>
      <c r="V13" s="338">
        <f t="shared" si="14"/>
        <v>94.128615110322272</v>
      </c>
      <c r="W13" s="336">
        <f t="shared" si="10"/>
        <v>93.313030141628104</v>
      </c>
      <c r="X13" s="339">
        <f t="shared" si="11"/>
        <v>93.541859561550297</v>
      </c>
      <c r="Y13" s="404">
        <f t="shared" si="12"/>
        <v>93.766588509959618</v>
      </c>
      <c r="Z13" s="398">
        <f t="shared" si="13"/>
        <v>30</v>
      </c>
      <c r="AA13" s="584"/>
      <c r="AB13" s="505">
        <f t="shared" si="15"/>
        <v>93.8</v>
      </c>
    </row>
    <row r="14" spans="1:28" ht="24.95" customHeight="1">
      <c r="A14" s="330" t="s">
        <v>2</v>
      </c>
      <c r="B14" s="331">
        <v>1</v>
      </c>
      <c r="C14" s="332">
        <v>0</v>
      </c>
      <c r="D14" s="332">
        <v>8</v>
      </c>
      <c r="E14" s="332">
        <v>0</v>
      </c>
      <c r="F14" s="332">
        <v>3</v>
      </c>
      <c r="G14" s="332">
        <v>0</v>
      </c>
      <c r="H14" s="332">
        <f t="shared" si="1"/>
        <v>11</v>
      </c>
      <c r="I14" s="332">
        <v>4</v>
      </c>
      <c r="J14" s="332">
        <v>0</v>
      </c>
      <c r="K14" s="332">
        <f t="shared" si="2"/>
        <v>4</v>
      </c>
      <c r="L14" s="333">
        <f t="shared" si="3"/>
        <v>16</v>
      </c>
      <c r="M14" s="334">
        <f t="shared" si="4"/>
        <v>66</v>
      </c>
      <c r="N14" s="332">
        <f t="shared" si="5"/>
        <v>0</v>
      </c>
      <c r="O14" s="332">
        <f t="shared" si="6"/>
        <v>88</v>
      </c>
      <c r="P14" s="332">
        <f t="shared" si="7"/>
        <v>16</v>
      </c>
      <c r="Q14" s="335">
        <f t="shared" si="8"/>
        <v>170</v>
      </c>
      <c r="R14" s="456">
        <v>93.608385093167669</v>
      </c>
      <c r="S14" s="336">
        <v>94.104840081659404</v>
      </c>
      <c r="T14" s="337">
        <v>95.08914164605271</v>
      </c>
      <c r="U14" s="393">
        <f t="shared" si="9"/>
        <v>94.053472900292206</v>
      </c>
      <c r="V14" s="338">
        <f t="shared" si="14"/>
        <v>94.13841748781941</v>
      </c>
      <c r="W14" s="336">
        <f t="shared" si="10"/>
        <v>93.416212584430255</v>
      </c>
      <c r="X14" s="339">
        <f t="shared" si="11"/>
        <v>93.50066697355885</v>
      </c>
      <c r="Y14" s="404">
        <f t="shared" si="12"/>
        <v>93.794205913950549</v>
      </c>
      <c r="Z14" s="398">
        <f t="shared" si="13"/>
        <v>29</v>
      </c>
      <c r="AA14" s="584"/>
      <c r="AB14" s="505">
        <f t="shared" si="15"/>
        <v>93.8</v>
      </c>
    </row>
    <row r="15" spans="1:28" ht="24.95" customHeight="1">
      <c r="A15" s="330" t="s">
        <v>0</v>
      </c>
      <c r="B15" s="331">
        <v>1</v>
      </c>
      <c r="C15" s="332">
        <v>0</v>
      </c>
      <c r="D15" s="332">
        <v>7</v>
      </c>
      <c r="E15" s="332">
        <v>0</v>
      </c>
      <c r="F15" s="332">
        <v>1</v>
      </c>
      <c r="G15" s="332">
        <v>0</v>
      </c>
      <c r="H15" s="332">
        <f t="shared" si="1"/>
        <v>8</v>
      </c>
      <c r="I15" s="332">
        <v>11</v>
      </c>
      <c r="J15" s="332">
        <v>0</v>
      </c>
      <c r="K15" s="332">
        <f t="shared" si="2"/>
        <v>11</v>
      </c>
      <c r="L15" s="333">
        <f t="shared" si="3"/>
        <v>20</v>
      </c>
      <c r="M15" s="334">
        <f t="shared" si="4"/>
        <v>66</v>
      </c>
      <c r="N15" s="332">
        <f t="shared" si="5"/>
        <v>0</v>
      </c>
      <c r="O15" s="332">
        <f t="shared" si="6"/>
        <v>64</v>
      </c>
      <c r="P15" s="332">
        <f t="shared" si="7"/>
        <v>44</v>
      </c>
      <c r="Q15" s="335">
        <f t="shared" si="8"/>
        <v>174</v>
      </c>
      <c r="R15" s="456">
        <v>94.819162205583311</v>
      </c>
      <c r="S15" s="336">
        <v>92.556868558567189</v>
      </c>
      <c r="T15" s="337">
        <v>94.263373531377468</v>
      </c>
      <c r="U15" s="393">
        <f t="shared" si="9"/>
        <v>94.029316376637311</v>
      </c>
      <c r="V15" s="338">
        <f t="shared" si="14"/>
        <v>94.158525526705944</v>
      </c>
      <c r="W15" s="336">
        <f t="shared" si="10"/>
        <v>93.346051744311865</v>
      </c>
      <c r="X15" s="339">
        <f t="shared" si="11"/>
        <v>93.587419019767665</v>
      </c>
      <c r="Y15" s="404">
        <f t="shared" si="12"/>
        <v>93.800562090600067</v>
      </c>
      <c r="Z15" s="398">
        <f t="shared" si="13"/>
        <v>28</v>
      </c>
      <c r="AA15" s="584"/>
      <c r="AB15" s="506">
        <f t="shared" si="15"/>
        <v>93.8</v>
      </c>
    </row>
    <row r="16" spans="1:28" s="350" customFormat="1" ht="24.95" customHeight="1">
      <c r="A16" s="340" t="s">
        <v>8</v>
      </c>
      <c r="B16" s="341">
        <v>1</v>
      </c>
      <c r="C16" s="342">
        <v>0</v>
      </c>
      <c r="D16" s="342">
        <v>11</v>
      </c>
      <c r="E16" s="342">
        <v>2</v>
      </c>
      <c r="F16" s="342">
        <v>1</v>
      </c>
      <c r="G16" s="342">
        <v>3</v>
      </c>
      <c r="H16" s="342">
        <f t="shared" si="1"/>
        <v>17</v>
      </c>
      <c r="I16" s="342">
        <v>5</v>
      </c>
      <c r="J16" s="342">
        <v>1</v>
      </c>
      <c r="K16" s="342">
        <f t="shared" si="2"/>
        <v>6</v>
      </c>
      <c r="L16" s="343">
        <f t="shared" si="3"/>
        <v>24</v>
      </c>
      <c r="M16" s="344">
        <f t="shared" si="4"/>
        <v>66</v>
      </c>
      <c r="N16" s="342">
        <f t="shared" si="5"/>
        <v>0</v>
      </c>
      <c r="O16" s="342">
        <f t="shared" si="6"/>
        <v>136</v>
      </c>
      <c r="P16" s="342">
        <f t="shared" si="7"/>
        <v>24</v>
      </c>
      <c r="Q16" s="345">
        <f t="shared" si="8"/>
        <v>226</v>
      </c>
      <c r="R16" s="457">
        <v>93.899840793602138</v>
      </c>
      <c r="S16" s="346">
        <v>93.347098357540801</v>
      </c>
      <c r="T16" s="347">
        <v>92.996413393974848</v>
      </c>
      <c r="U16" s="394">
        <f t="shared" si="9"/>
        <v>93.553332582858275</v>
      </c>
      <c r="V16" s="348">
        <f t="shared" si="14"/>
        <v>94.415359561085879</v>
      </c>
      <c r="W16" s="346">
        <f t="shared" si="10"/>
        <v>93.73154467096856</v>
      </c>
      <c r="X16" s="349">
        <f t="shared" si="11"/>
        <v>93.854748521691263</v>
      </c>
      <c r="Y16" s="405">
        <f t="shared" si="12"/>
        <v>94.098092886171756</v>
      </c>
      <c r="Z16" s="399">
        <f t="shared" si="13"/>
        <v>27</v>
      </c>
      <c r="AA16" s="585" t="s">
        <v>373</v>
      </c>
      <c r="AB16" s="501">
        <f>ROUNDUP(AVERAGE($Y$16:$Y$21),1)</f>
        <v>94.399999999999991</v>
      </c>
    </row>
    <row r="17" spans="1:28" ht="24.95" customHeight="1">
      <c r="A17" s="340" t="s">
        <v>10</v>
      </c>
      <c r="B17" s="341">
        <v>1</v>
      </c>
      <c r="C17" s="342">
        <v>0</v>
      </c>
      <c r="D17" s="342">
        <v>4</v>
      </c>
      <c r="E17" s="342">
        <v>5</v>
      </c>
      <c r="F17" s="342">
        <v>0</v>
      </c>
      <c r="G17" s="342">
        <v>1</v>
      </c>
      <c r="H17" s="342">
        <f t="shared" si="1"/>
        <v>10</v>
      </c>
      <c r="I17" s="342">
        <v>4</v>
      </c>
      <c r="J17" s="342">
        <v>0</v>
      </c>
      <c r="K17" s="342">
        <f t="shared" si="2"/>
        <v>4</v>
      </c>
      <c r="L17" s="343">
        <f t="shared" si="3"/>
        <v>15</v>
      </c>
      <c r="M17" s="344">
        <f t="shared" si="4"/>
        <v>66</v>
      </c>
      <c r="N17" s="342">
        <f t="shared" si="5"/>
        <v>0</v>
      </c>
      <c r="O17" s="342">
        <f t="shared" si="6"/>
        <v>80</v>
      </c>
      <c r="P17" s="342">
        <f t="shared" si="7"/>
        <v>16</v>
      </c>
      <c r="Q17" s="345">
        <f t="shared" si="8"/>
        <v>162</v>
      </c>
      <c r="R17" s="457">
        <v>95.066668367952261</v>
      </c>
      <c r="S17" s="346">
        <v>94.664012928564603</v>
      </c>
      <c r="T17" s="347">
        <v>93.941909557741027</v>
      </c>
      <c r="U17" s="394">
        <f t="shared" si="9"/>
        <v>94.720919974093732</v>
      </c>
      <c r="V17" s="348">
        <f t="shared" si="14"/>
        <v>94.499466718685426</v>
      </c>
      <c r="W17" s="346">
        <f t="shared" si="10"/>
        <v>93.986841024769177</v>
      </c>
      <c r="X17" s="349">
        <f t="shared" si="11"/>
        <v>93.96429854951883</v>
      </c>
      <c r="Y17" s="405">
        <f>V17*0.5+W17*0.3+X17*0.2</f>
        <v>94.238645376677226</v>
      </c>
      <c r="Z17" s="399">
        <f t="shared" si="13"/>
        <v>26</v>
      </c>
      <c r="AA17" s="585"/>
      <c r="AB17" s="502">
        <f t="shared" ref="AB17:AB21" si="16">ROUNDUP(AVERAGE($Y$16:$Y$21),1)</f>
        <v>94.399999999999991</v>
      </c>
    </row>
    <row r="18" spans="1:28" ht="24.95" customHeight="1">
      <c r="A18" s="340" t="s">
        <v>7</v>
      </c>
      <c r="B18" s="341">
        <v>1</v>
      </c>
      <c r="C18" s="342">
        <v>0</v>
      </c>
      <c r="D18" s="342">
        <v>7</v>
      </c>
      <c r="E18" s="342">
        <v>4</v>
      </c>
      <c r="F18" s="342">
        <v>0</v>
      </c>
      <c r="G18" s="342">
        <v>3</v>
      </c>
      <c r="H18" s="342">
        <f t="shared" si="1"/>
        <v>14</v>
      </c>
      <c r="I18" s="342">
        <v>5</v>
      </c>
      <c r="J18" s="342">
        <v>1</v>
      </c>
      <c r="K18" s="342">
        <f t="shared" si="2"/>
        <v>6</v>
      </c>
      <c r="L18" s="343">
        <f t="shared" si="3"/>
        <v>21</v>
      </c>
      <c r="M18" s="344">
        <f t="shared" si="4"/>
        <v>66</v>
      </c>
      <c r="N18" s="342">
        <f t="shared" si="5"/>
        <v>0</v>
      </c>
      <c r="O18" s="342">
        <f t="shared" si="6"/>
        <v>112</v>
      </c>
      <c r="P18" s="342">
        <f t="shared" si="7"/>
        <v>24</v>
      </c>
      <c r="Q18" s="345">
        <f t="shared" si="8"/>
        <v>202</v>
      </c>
      <c r="R18" s="457">
        <v>94.161830936573921</v>
      </c>
      <c r="S18" s="346">
        <v>94.964810397806289</v>
      </c>
      <c r="T18" s="347">
        <v>94.986506128626075</v>
      </c>
      <c r="U18" s="394">
        <f t="shared" si="9"/>
        <v>94.567659813354055</v>
      </c>
      <c r="V18" s="348">
        <f t="shared" si="14"/>
        <v>94.565922050076153</v>
      </c>
      <c r="W18" s="346">
        <f t="shared" si="10"/>
        <v>93.973193560746381</v>
      </c>
      <c r="X18" s="349">
        <f t="shared" si="11"/>
        <v>94.05646835455758</v>
      </c>
      <c r="Y18" s="405">
        <f t="shared" si="12"/>
        <v>94.286212764173513</v>
      </c>
      <c r="Z18" s="399">
        <f t="shared" si="13"/>
        <v>25</v>
      </c>
      <c r="AA18" s="585"/>
      <c r="AB18" s="502">
        <f t="shared" si="16"/>
        <v>94.399999999999991</v>
      </c>
    </row>
    <row r="19" spans="1:28" ht="24.95" customHeight="1">
      <c r="A19" s="340" t="s">
        <v>5</v>
      </c>
      <c r="B19" s="341">
        <v>1</v>
      </c>
      <c r="C19" s="342">
        <v>0</v>
      </c>
      <c r="D19" s="342">
        <v>3</v>
      </c>
      <c r="E19" s="342">
        <v>2</v>
      </c>
      <c r="F19" s="342">
        <v>0</v>
      </c>
      <c r="G19" s="342">
        <v>2</v>
      </c>
      <c r="H19" s="342">
        <f t="shared" si="1"/>
        <v>7</v>
      </c>
      <c r="I19" s="342">
        <v>3</v>
      </c>
      <c r="J19" s="342">
        <v>1</v>
      </c>
      <c r="K19" s="342">
        <f t="shared" si="2"/>
        <v>4</v>
      </c>
      <c r="L19" s="343">
        <f t="shared" si="3"/>
        <v>12</v>
      </c>
      <c r="M19" s="344">
        <f t="shared" si="4"/>
        <v>66</v>
      </c>
      <c r="N19" s="342">
        <f t="shared" si="5"/>
        <v>0</v>
      </c>
      <c r="O19" s="342">
        <f t="shared" si="6"/>
        <v>56</v>
      </c>
      <c r="P19" s="342">
        <f t="shared" si="7"/>
        <v>16</v>
      </c>
      <c r="Q19" s="345">
        <f t="shared" si="8"/>
        <v>138</v>
      </c>
      <c r="R19" s="457">
        <v>93.871051611653016</v>
      </c>
      <c r="S19" s="346">
        <v>91.719228574818729</v>
      </c>
      <c r="T19" s="347">
        <v>91.604613923464953</v>
      </c>
      <c r="U19" s="394">
        <f t="shared" si="9"/>
        <v>92.77221716296512</v>
      </c>
      <c r="V19" s="348">
        <f t="shared" si="14"/>
        <v>94.564517333984455</v>
      </c>
      <c r="W19" s="346">
        <f t="shared" si="10"/>
        <v>94.050428042307303</v>
      </c>
      <c r="X19" s="349">
        <f t="shared" si="11"/>
        <v>94.030424449275841</v>
      </c>
      <c r="Y19" s="405">
        <f t="shared" si="12"/>
        <v>94.303471969539586</v>
      </c>
      <c r="Z19" s="399">
        <f t="shared" si="13"/>
        <v>24</v>
      </c>
      <c r="AA19" s="585"/>
      <c r="AB19" s="502">
        <f t="shared" si="16"/>
        <v>94.399999999999991</v>
      </c>
    </row>
    <row r="20" spans="1:28" ht="24.95" customHeight="1">
      <c r="A20" s="340" t="s">
        <v>13</v>
      </c>
      <c r="B20" s="341">
        <v>1</v>
      </c>
      <c r="C20" s="342">
        <v>0</v>
      </c>
      <c r="D20" s="342">
        <v>4</v>
      </c>
      <c r="E20" s="342">
        <v>4</v>
      </c>
      <c r="F20" s="342">
        <v>0</v>
      </c>
      <c r="G20" s="342">
        <v>3</v>
      </c>
      <c r="H20" s="342">
        <f t="shared" si="1"/>
        <v>11</v>
      </c>
      <c r="I20" s="342">
        <v>0</v>
      </c>
      <c r="J20" s="342">
        <v>2</v>
      </c>
      <c r="K20" s="342">
        <f t="shared" si="2"/>
        <v>2</v>
      </c>
      <c r="L20" s="343">
        <f t="shared" si="3"/>
        <v>14</v>
      </c>
      <c r="M20" s="344">
        <f t="shared" si="4"/>
        <v>66</v>
      </c>
      <c r="N20" s="342">
        <f t="shared" si="5"/>
        <v>0</v>
      </c>
      <c r="O20" s="342">
        <f t="shared" si="6"/>
        <v>88</v>
      </c>
      <c r="P20" s="342">
        <f t="shared" si="7"/>
        <v>8</v>
      </c>
      <c r="Q20" s="345">
        <f t="shared" si="8"/>
        <v>162</v>
      </c>
      <c r="R20" s="457">
        <v>94.394281045751626</v>
      </c>
      <c r="S20" s="346">
        <v>93.597258278782704</v>
      </c>
      <c r="T20" s="347">
        <v>93.794577594243364</v>
      </c>
      <c r="U20" s="394">
        <f t="shared" si="9"/>
        <v>94.035233525359303</v>
      </c>
      <c r="V20" s="348">
        <f t="shared" si="14"/>
        <v>94.706558965826787</v>
      </c>
      <c r="W20" s="346">
        <f t="shared" si="10"/>
        <v>94.253906775309289</v>
      </c>
      <c r="X20" s="349">
        <f t="shared" si="11"/>
        <v>94.224683026690201</v>
      </c>
      <c r="Y20" s="405">
        <f t="shared" si="12"/>
        <v>94.474388120844225</v>
      </c>
      <c r="Z20" s="399">
        <f t="shared" si="13"/>
        <v>23</v>
      </c>
      <c r="AA20" s="585"/>
      <c r="AB20" s="502">
        <f t="shared" si="16"/>
        <v>94.399999999999991</v>
      </c>
    </row>
    <row r="21" spans="1:28" ht="24.95" customHeight="1">
      <c r="A21" s="340" t="s">
        <v>12</v>
      </c>
      <c r="B21" s="341">
        <v>1</v>
      </c>
      <c r="C21" s="342">
        <v>0</v>
      </c>
      <c r="D21" s="342">
        <v>5</v>
      </c>
      <c r="E21" s="342">
        <v>1</v>
      </c>
      <c r="F21" s="342">
        <v>0</v>
      </c>
      <c r="G21" s="342">
        <v>5</v>
      </c>
      <c r="H21" s="342">
        <f t="shared" si="1"/>
        <v>11</v>
      </c>
      <c r="I21" s="342">
        <v>5</v>
      </c>
      <c r="J21" s="342">
        <v>2</v>
      </c>
      <c r="K21" s="342">
        <f t="shared" si="2"/>
        <v>7</v>
      </c>
      <c r="L21" s="343">
        <f t="shared" si="3"/>
        <v>19</v>
      </c>
      <c r="M21" s="344">
        <f t="shared" si="4"/>
        <v>66</v>
      </c>
      <c r="N21" s="342">
        <f t="shared" si="5"/>
        <v>0</v>
      </c>
      <c r="O21" s="342">
        <f t="shared" si="6"/>
        <v>88</v>
      </c>
      <c r="P21" s="342">
        <f t="shared" si="7"/>
        <v>28</v>
      </c>
      <c r="Q21" s="345">
        <f t="shared" si="8"/>
        <v>182</v>
      </c>
      <c r="R21" s="457">
        <v>94.777070515449836</v>
      </c>
      <c r="S21" s="346">
        <v>93.574372113884323</v>
      </c>
      <c r="T21" s="347">
        <v>93.314600257616164</v>
      </c>
      <c r="U21" s="394">
        <f t="shared" si="9"/>
        <v>94.123766943413443</v>
      </c>
      <c r="V21" s="348">
        <f t="shared" si="14"/>
        <v>94.748180453701153</v>
      </c>
      <c r="W21" s="346">
        <f t="shared" si="10"/>
        <v>94.162973077864407</v>
      </c>
      <c r="X21" s="349">
        <f t="shared" si="11"/>
        <v>94.271844072892492</v>
      </c>
      <c r="Y21" s="405">
        <f t="shared" si="12"/>
        <v>94.4773509647884</v>
      </c>
      <c r="Z21" s="399">
        <f t="shared" si="13"/>
        <v>22</v>
      </c>
      <c r="AA21" s="585"/>
      <c r="AB21" s="503">
        <f t="shared" si="16"/>
        <v>94.399999999999991</v>
      </c>
    </row>
    <row r="22" spans="1:28" ht="24.95" customHeight="1">
      <c r="A22" s="351" t="s">
        <v>23</v>
      </c>
      <c r="B22" s="352">
        <v>1</v>
      </c>
      <c r="C22" s="353">
        <v>0</v>
      </c>
      <c r="D22" s="353">
        <v>2</v>
      </c>
      <c r="E22" s="353">
        <v>5</v>
      </c>
      <c r="F22" s="353">
        <v>0</v>
      </c>
      <c r="G22" s="353">
        <v>5</v>
      </c>
      <c r="H22" s="353">
        <f t="shared" si="1"/>
        <v>12</v>
      </c>
      <c r="I22" s="353">
        <v>2</v>
      </c>
      <c r="J22" s="353">
        <v>0</v>
      </c>
      <c r="K22" s="353">
        <f t="shared" si="2"/>
        <v>2</v>
      </c>
      <c r="L22" s="354">
        <f t="shared" si="3"/>
        <v>15</v>
      </c>
      <c r="M22" s="355">
        <f t="shared" si="4"/>
        <v>66</v>
      </c>
      <c r="N22" s="353">
        <f t="shared" si="5"/>
        <v>0</v>
      </c>
      <c r="O22" s="353">
        <f t="shared" si="6"/>
        <v>96</v>
      </c>
      <c r="P22" s="353">
        <f t="shared" si="7"/>
        <v>8</v>
      </c>
      <c r="Q22" s="356">
        <f t="shared" si="8"/>
        <v>170</v>
      </c>
      <c r="R22" s="458">
        <v>94.725767831501628</v>
      </c>
      <c r="S22" s="357">
        <v>95.808518445119063</v>
      </c>
      <c r="T22" s="358">
        <v>94.379194185472983</v>
      </c>
      <c r="U22" s="395">
        <f t="shared" si="9"/>
        <v>94.981278286381126</v>
      </c>
      <c r="V22" s="359">
        <f t="shared" si="14"/>
        <v>94.964820885122805</v>
      </c>
      <c r="W22" s="357">
        <f t="shared" si="10"/>
        <v>94.602138554499035</v>
      </c>
      <c r="X22" s="360">
        <f t="shared" si="11"/>
        <v>94.464544452870967</v>
      </c>
      <c r="Y22" s="406">
        <f t="shared" si="12"/>
        <v>94.755960899485302</v>
      </c>
      <c r="Z22" s="400">
        <f t="shared" si="13"/>
        <v>21</v>
      </c>
      <c r="AA22" s="592" t="s">
        <v>374</v>
      </c>
      <c r="AB22" s="507">
        <f>ROUNDUP(AVERAGE($Y$22:$Y$28),1)</f>
        <v>94.899999999999991</v>
      </c>
    </row>
    <row r="23" spans="1:28" ht="24.95" customHeight="1">
      <c r="A23" s="351" t="s">
        <v>6</v>
      </c>
      <c r="B23" s="352">
        <v>1</v>
      </c>
      <c r="C23" s="353">
        <v>0</v>
      </c>
      <c r="D23" s="353">
        <v>1</v>
      </c>
      <c r="E23" s="353">
        <v>6</v>
      </c>
      <c r="F23" s="353">
        <v>0</v>
      </c>
      <c r="G23" s="353">
        <v>4</v>
      </c>
      <c r="H23" s="353">
        <f t="shared" si="1"/>
        <v>11</v>
      </c>
      <c r="I23" s="353">
        <v>2</v>
      </c>
      <c r="J23" s="353">
        <v>1</v>
      </c>
      <c r="K23" s="353">
        <f t="shared" si="2"/>
        <v>3</v>
      </c>
      <c r="L23" s="354">
        <f t="shared" si="3"/>
        <v>15</v>
      </c>
      <c r="M23" s="355">
        <f t="shared" si="4"/>
        <v>66</v>
      </c>
      <c r="N23" s="353">
        <f t="shared" si="5"/>
        <v>0</v>
      </c>
      <c r="O23" s="353">
        <f t="shared" si="6"/>
        <v>88</v>
      </c>
      <c r="P23" s="353">
        <f t="shared" si="7"/>
        <v>12</v>
      </c>
      <c r="Q23" s="356">
        <f t="shared" si="8"/>
        <v>166</v>
      </c>
      <c r="R23" s="458">
        <v>95.063278063655389</v>
      </c>
      <c r="S23" s="357">
        <v>94.289346923439254</v>
      </c>
      <c r="T23" s="358">
        <v>93.665304311663249</v>
      </c>
      <c r="U23" s="395">
        <f t="shared" si="9"/>
        <v>94.551503971192119</v>
      </c>
      <c r="V23" s="359">
        <f t="shared" si="14"/>
        <v>94.960383462025675</v>
      </c>
      <c r="W23" s="357">
        <f t="shared" si="10"/>
        <v>94.601742125100813</v>
      </c>
      <c r="X23" s="360">
        <f t="shared" si="11"/>
        <v>94.530652369188573</v>
      </c>
      <c r="Y23" s="406">
        <f t="shared" si="12"/>
        <v>94.766844842380806</v>
      </c>
      <c r="Z23" s="400">
        <f t="shared" si="13"/>
        <v>20</v>
      </c>
      <c r="AA23" s="592"/>
      <c r="AB23" s="508">
        <f t="shared" ref="AB23:AB28" si="17">ROUNDUP(AVERAGE($Y$22:$Y$28),1)</f>
        <v>94.899999999999991</v>
      </c>
    </row>
    <row r="24" spans="1:28" s="350" customFormat="1" ht="24.95" customHeight="1">
      <c r="A24" s="351" t="s">
        <v>9</v>
      </c>
      <c r="B24" s="352">
        <v>1</v>
      </c>
      <c r="C24" s="353">
        <v>0</v>
      </c>
      <c r="D24" s="353">
        <v>5</v>
      </c>
      <c r="E24" s="353">
        <v>5</v>
      </c>
      <c r="F24" s="353">
        <v>0</v>
      </c>
      <c r="G24" s="353">
        <v>8</v>
      </c>
      <c r="H24" s="353">
        <f t="shared" si="1"/>
        <v>18</v>
      </c>
      <c r="I24" s="353">
        <v>1</v>
      </c>
      <c r="J24" s="353">
        <v>1</v>
      </c>
      <c r="K24" s="353">
        <f t="shared" si="2"/>
        <v>2</v>
      </c>
      <c r="L24" s="354">
        <f t="shared" si="3"/>
        <v>21</v>
      </c>
      <c r="M24" s="355">
        <f t="shared" si="4"/>
        <v>66</v>
      </c>
      <c r="N24" s="353">
        <f t="shared" si="5"/>
        <v>0</v>
      </c>
      <c r="O24" s="353">
        <f t="shared" si="6"/>
        <v>144</v>
      </c>
      <c r="P24" s="353">
        <f t="shared" si="7"/>
        <v>8</v>
      </c>
      <c r="Q24" s="356">
        <f t="shared" si="8"/>
        <v>218</v>
      </c>
      <c r="R24" s="458">
        <v>94.589680525504534</v>
      </c>
      <c r="S24" s="357">
        <v>94.489447112071517</v>
      </c>
      <c r="T24" s="358">
        <v>95.526501236858039</v>
      </c>
      <c r="U24" s="395">
        <f t="shared" si="9"/>
        <v>94.746974643745318</v>
      </c>
      <c r="V24" s="359">
        <f t="shared" si="14"/>
        <v>95.025807310974685</v>
      </c>
      <c r="W24" s="357">
        <f t="shared" si="10"/>
        <v>94.610099690569513</v>
      </c>
      <c r="X24" s="360">
        <f t="shared" si="11"/>
        <v>94.545186140856643</v>
      </c>
      <c r="Y24" s="406">
        <f t="shared" si="12"/>
        <v>94.804970790829529</v>
      </c>
      <c r="Z24" s="400">
        <f t="shared" si="13"/>
        <v>19</v>
      </c>
      <c r="AA24" s="592"/>
      <c r="AB24" s="508">
        <f t="shared" si="17"/>
        <v>94.899999999999991</v>
      </c>
    </row>
    <row r="25" spans="1:28" ht="24.95" customHeight="1">
      <c r="A25" s="351" t="s">
        <v>22</v>
      </c>
      <c r="B25" s="352">
        <v>1</v>
      </c>
      <c r="C25" s="353">
        <v>0</v>
      </c>
      <c r="D25" s="353">
        <v>2</v>
      </c>
      <c r="E25" s="353">
        <v>3</v>
      </c>
      <c r="F25" s="353">
        <v>0</v>
      </c>
      <c r="G25" s="353">
        <v>5</v>
      </c>
      <c r="H25" s="353">
        <f t="shared" si="1"/>
        <v>10</v>
      </c>
      <c r="I25" s="353">
        <v>3</v>
      </c>
      <c r="J25" s="353">
        <v>0</v>
      </c>
      <c r="K25" s="353">
        <f t="shared" si="2"/>
        <v>3</v>
      </c>
      <c r="L25" s="354">
        <f t="shared" si="3"/>
        <v>14</v>
      </c>
      <c r="M25" s="355">
        <f>B25*4*11</f>
        <v>44</v>
      </c>
      <c r="N25" s="353">
        <f t="shared" si="5"/>
        <v>0</v>
      </c>
      <c r="O25" s="353">
        <f t="shared" si="6"/>
        <v>80</v>
      </c>
      <c r="P25" s="353">
        <f t="shared" si="7"/>
        <v>12</v>
      </c>
      <c r="Q25" s="356">
        <f t="shared" si="8"/>
        <v>136</v>
      </c>
      <c r="R25" s="458">
        <v>96.426774193548383</v>
      </c>
      <c r="S25" s="357">
        <v>96.751774470536446</v>
      </c>
      <c r="T25" s="358">
        <v>94.966568794542894</v>
      </c>
      <c r="U25" s="395">
        <f t="shared" si="9"/>
        <v>96.232233196843708</v>
      </c>
      <c r="V25" s="359">
        <f t="shared" si="14"/>
        <v>95.052573852475348</v>
      </c>
      <c r="W25" s="357">
        <f t="shared" si="10"/>
        <v>94.629079920274748</v>
      </c>
      <c r="X25" s="360">
        <f t="shared" si="11"/>
        <v>94.574762119929261</v>
      </c>
      <c r="Y25" s="406">
        <f t="shared" si="12"/>
        <v>94.829963326305943</v>
      </c>
      <c r="Z25" s="400">
        <f t="shared" si="13"/>
        <v>18</v>
      </c>
      <c r="AA25" s="592"/>
      <c r="AB25" s="508">
        <f t="shared" si="17"/>
        <v>94.899999999999991</v>
      </c>
    </row>
    <row r="26" spans="1:28" ht="24.95" customHeight="1">
      <c r="A26" s="351" t="s">
        <v>11</v>
      </c>
      <c r="B26" s="352">
        <v>1</v>
      </c>
      <c r="C26" s="353">
        <v>0</v>
      </c>
      <c r="D26" s="353">
        <v>3</v>
      </c>
      <c r="E26" s="353">
        <v>4</v>
      </c>
      <c r="F26" s="353">
        <v>0</v>
      </c>
      <c r="G26" s="353">
        <v>8</v>
      </c>
      <c r="H26" s="353">
        <f t="shared" si="1"/>
        <v>15</v>
      </c>
      <c r="I26" s="353">
        <v>1</v>
      </c>
      <c r="J26" s="353">
        <v>2</v>
      </c>
      <c r="K26" s="353">
        <f t="shared" si="2"/>
        <v>3</v>
      </c>
      <c r="L26" s="354">
        <f t="shared" si="3"/>
        <v>19</v>
      </c>
      <c r="M26" s="355">
        <f>B26*6*11</f>
        <v>66</v>
      </c>
      <c r="N26" s="353">
        <f t="shared" si="5"/>
        <v>0</v>
      </c>
      <c r="O26" s="353">
        <f t="shared" si="6"/>
        <v>120</v>
      </c>
      <c r="P26" s="353">
        <f t="shared" si="7"/>
        <v>12</v>
      </c>
      <c r="Q26" s="356">
        <f t="shared" si="8"/>
        <v>198</v>
      </c>
      <c r="R26" s="458">
        <v>94.860940375010955</v>
      </c>
      <c r="S26" s="357">
        <v>94.362489859261487</v>
      </c>
      <c r="T26" s="358">
        <v>94.767812197101577</v>
      </c>
      <c r="U26" s="395">
        <f t="shared" si="9"/>
        <v>94.692779584704255</v>
      </c>
      <c r="V26" s="359">
        <f t="shared" si="14"/>
        <v>95.125146544423956</v>
      </c>
      <c r="W26" s="357">
        <f t="shared" si="10"/>
        <v>94.730486419938373</v>
      </c>
      <c r="X26" s="360">
        <f t="shared" si="11"/>
        <v>94.693452173259601</v>
      </c>
      <c r="Y26" s="406">
        <f t="shared" si="12"/>
        <v>94.920409632845406</v>
      </c>
      <c r="Z26" s="400">
        <f t="shared" si="13"/>
        <v>17</v>
      </c>
      <c r="AA26" s="592"/>
      <c r="AB26" s="508">
        <f t="shared" si="17"/>
        <v>94.899999999999991</v>
      </c>
    </row>
    <row r="27" spans="1:28" ht="24.95" customHeight="1">
      <c r="A27" s="351" t="s">
        <v>17</v>
      </c>
      <c r="B27" s="352">
        <v>1</v>
      </c>
      <c r="C27" s="353">
        <v>0</v>
      </c>
      <c r="D27" s="353">
        <v>2</v>
      </c>
      <c r="E27" s="353">
        <v>8</v>
      </c>
      <c r="F27" s="353">
        <v>0</v>
      </c>
      <c r="G27" s="353">
        <v>8</v>
      </c>
      <c r="H27" s="353">
        <f t="shared" si="1"/>
        <v>18</v>
      </c>
      <c r="I27" s="353">
        <v>3</v>
      </c>
      <c r="J27" s="353">
        <v>1</v>
      </c>
      <c r="K27" s="353">
        <f t="shared" si="2"/>
        <v>4</v>
      </c>
      <c r="L27" s="354">
        <f t="shared" si="3"/>
        <v>23</v>
      </c>
      <c r="M27" s="355">
        <f>B27*6*11</f>
        <v>66</v>
      </c>
      <c r="N27" s="353">
        <f t="shared" si="5"/>
        <v>0</v>
      </c>
      <c r="O27" s="353">
        <f t="shared" si="6"/>
        <v>144</v>
      </c>
      <c r="P27" s="353">
        <f t="shared" si="7"/>
        <v>16</v>
      </c>
      <c r="Q27" s="356">
        <f t="shared" si="8"/>
        <v>226</v>
      </c>
      <c r="R27" s="458">
        <v>94.687888888888892</v>
      </c>
      <c r="S27" s="357">
        <v>94.771503429444536</v>
      </c>
      <c r="T27" s="358">
        <v>95.033507149811271</v>
      </c>
      <c r="U27" s="395">
        <f t="shared" si="9"/>
        <v>94.782096903240074</v>
      </c>
      <c r="V27" s="359">
        <f t="shared" si="14"/>
        <v>95.159639089790915</v>
      </c>
      <c r="W27" s="357">
        <f t="shared" si="10"/>
        <v>94.793082253493822</v>
      </c>
      <c r="X27" s="360">
        <f t="shared" si="11"/>
        <v>94.759868521605142</v>
      </c>
      <c r="Y27" s="406">
        <f t="shared" si="12"/>
        <v>94.969717925264632</v>
      </c>
      <c r="Z27" s="400">
        <f t="shared" si="13"/>
        <v>16</v>
      </c>
      <c r="AA27" s="592"/>
      <c r="AB27" s="508">
        <f t="shared" si="17"/>
        <v>94.899999999999991</v>
      </c>
    </row>
    <row r="28" spans="1:28" ht="24.95" customHeight="1">
      <c r="A28" s="351" t="s">
        <v>19</v>
      </c>
      <c r="B28" s="352">
        <v>1</v>
      </c>
      <c r="C28" s="353">
        <v>0</v>
      </c>
      <c r="D28" s="353">
        <v>0</v>
      </c>
      <c r="E28" s="353">
        <v>5</v>
      </c>
      <c r="F28" s="353">
        <v>0</v>
      </c>
      <c r="G28" s="353">
        <v>6</v>
      </c>
      <c r="H28" s="353">
        <f t="shared" si="1"/>
        <v>11</v>
      </c>
      <c r="I28" s="353">
        <v>0</v>
      </c>
      <c r="J28" s="353">
        <v>3</v>
      </c>
      <c r="K28" s="353">
        <f t="shared" si="2"/>
        <v>3</v>
      </c>
      <c r="L28" s="354">
        <f t="shared" si="3"/>
        <v>15</v>
      </c>
      <c r="M28" s="355">
        <f>B28*4*11</f>
        <v>44</v>
      </c>
      <c r="N28" s="353">
        <f t="shared" si="5"/>
        <v>0</v>
      </c>
      <c r="O28" s="353">
        <f t="shared" si="6"/>
        <v>88</v>
      </c>
      <c r="P28" s="353">
        <f t="shared" si="7"/>
        <v>12</v>
      </c>
      <c r="Q28" s="356">
        <f t="shared" si="8"/>
        <v>144</v>
      </c>
      <c r="R28" s="458">
        <v>94.46331400671346</v>
      </c>
      <c r="S28" s="357">
        <v>93.536161492492297</v>
      </c>
      <c r="T28" s="358">
        <v>93.537257986268074</v>
      </c>
      <c r="U28" s="395">
        <f t="shared" si="9"/>
        <v>93.999957048358027</v>
      </c>
      <c r="V28" s="359">
        <f t="shared" si="14"/>
        <v>95.355067674817533</v>
      </c>
      <c r="W28" s="357">
        <f t="shared" si="10"/>
        <v>95.02964217460304</v>
      </c>
      <c r="X28" s="360">
        <f t="shared" si="11"/>
        <v>95.084312023322681</v>
      </c>
      <c r="Y28" s="406">
        <f t="shared" si="12"/>
        <v>95.203288894454218</v>
      </c>
      <c r="Z28" s="400">
        <f t="shared" si="13"/>
        <v>15</v>
      </c>
      <c r="AA28" s="592"/>
      <c r="AB28" s="509">
        <f t="shared" si="17"/>
        <v>94.899999999999991</v>
      </c>
    </row>
    <row r="29" spans="1:28" ht="24.95" customHeight="1">
      <c r="A29" s="361" t="s">
        <v>25</v>
      </c>
      <c r="B29" s="362">
        <v>0</v>
      </c>
      <c r="C29" s="363">
        <v>1</v>
      </c>
      <c r="D29" s="363">
        <v>0</v>
      </c>
      <c r="E29" s="363">
        <v>3</v>
      </c>
      <c r="F29" s="363">
        <v>0</v>
      </c>
      <c r="G29" s="363">
        <v>1</v>
      </c>
      <c r="H29" s="363">
        <f t="shared" si="1"/>
        <v>4</v>
      </c>
      <c r="I29" s="363">
        <v>0</v>
      </c>
      <c r="J29" s="363">
        <v>2</v>
      </c>
      <c r="K29" s="363">
        <f t="shared" si="2"/>
        <v>2</v>
      </c>
      <c r="L29" s="364">
        <f t="shared" si="3"/>
        <v>7</v>
      </c>
      <c r="M29" s="365">
        <f t="shared" ref="M29:M42" si="18">B29*6*11</f>
        <v>0</v>
      </c>
      <c r="N29" s="363">
        <f t="shared" si="5"/>
        <v>44</v>
      </c>
      <c r="O29" s="363">
        <f t="shared" si="6"/>
        <v>32</v>
      </c>
      <c r="P29" s="363">
        <f t="shared" si="7"/>
        <v>8</v>
      </c>
      <c r="Q29" s="366">
        <f t="shared" si="8"/>
        <v>84</v>
      </c>
      <c r="R29" s="459">
        <v>96.831818181818178</v>
      </c>
      <c r="S29" s="367">
        <v>94.517934261365511</v>
      </c>
      <c r="T29" s="368">
        <v>96.088316322582841</v>
      </c>
      <c r="U29" s="396">
        <f t="shared" si="9"/>
        <v>95.988952633835311</v>
      </c>
      <c r="V29" s="369">
        <f t="shared" si="14"/>
        <v>95.526973575377795</v>
      </c>
      <c r="W29" s="367">
        <f t="shared" si="10"/>
        <v>95.014844828039273</v>
      </c>
      <c r="X29" s="370">
        <f t="shared" si="11"/>
        <v>95.085043905686192</v>
      </c>
      <c r="Y29" s="407">
        <f t="shared" si="12"/>
        <v>95.284949017237921</v>
      </c>
      <c r="Z29" s="401">
        <f t="shared" si="13"/>
        <v>14</v>
      </c>
      <c r="AA29" s="580" t="s">
        <v>375</v>
      </c>
      <c r="AB29" s="510">
        <f t="shared" ref="AB29:AB42" si="19">ROUNDUP(AVERAGE($Y$29:$Y$42),1)</f>
        <v>95.6</v>
      </c>
    </row>
    <row r="30" spans="1:28" ht="24.95" customHeight="1">
      <c r="A30" s="361" t="s">
        <v>27</v>
      </c>
      <c r="B30" s="362">
        <v>0</v>
      </c>
      <c r="C30" s="363">
        <v>1</v>
      </c>
      <c r="D30" s="363">
        <v>0</v>
      </c>
      <c r="E30" s="363">
        <v>4</v>
      </c>
      <c r="F30" s="363">
        <v>0</v>
      </c>
      <c r="G30" s="363">
        <v>2</v>
      </c>
      <c r="H30" s="363">
        <f t="shared" si="1"/>
        <v>6</v>
      </c>
      <c r="I30" s="363">
        <v>0</v>
      </c>
      <c r="J30" s="363">
        <v>0</v>
      </c>
      <c r="K30" s="363">
        <f t="shared" si="2"/>
        <v>0</v>
      </c>
      <c r="L30" s="364">
        <f t="shared" si="3"/>
        <v>7</v>
      </c>
      <c r="M30" s="365">
        <f t="shared" si="18"/>
        <v>0</v>
      </c>
      <c r="N30" s="363">
        <f t="shared" si="5"/>
        <v>44</v>
      </c>
      <c r="O30" s="363">
        <f t="shared" si="6"/>
        <v>48</v>
      </c>
      <c r="P30" s="363">
        <f t="shared" si="7"/>
        <v>0</v>
      </c>
      <c r="Q30" s="366">
        <f t="shared" si="8"/>
        <v>92</v>
      </c>
      <c r="R30" s="459">
        <v>95.240934065934056</v>
      </c>
      <c r="S30" s="367">
        <v>93.773236961748836</v>
      </c>
      <c r="T30" s="368">
        <v>94.744264451351356</v>
      </c>
      <c r="U30" s="396">
        <f t="shared" si="9"/>
        <v>94.701291011761953</v>
      </c>
      <c r="V30" s="369">
        <f>(B30*$B$7)*M30/Q30+(C30*$C$7)*N30/Q30+(D30*$D$7+E30*$E$7+F30*$F$7+G30*$G$7)*O30/Q30/H30</f>
        <v>95.619136775891178</v>
      </c>
      <c r="W30" s="367">
        <f>B30*$B$8*M30/Q30+C30*$C$8*N30/Q30+(D30*$D$8+E30*$E$8+F30*$F$8+G30*$G$8)*O30/Q30/H30</f>
        <v>95.237900295530139</v>
      </c>
      <c r="X30" s="370">
        <f>B30*$B$9*M30/Q30+C30*$C$9*N30/Q30+(D30*$D$9+E30*$E$9+F30*$F$9+G30*$G$9)*O30/Q30/H30</f>
        <v>95.040744611247604</v>
      </c>
      <c r="Y30" s="407">
        <f t="shared" si="12"/>
        <v>95.389087398854144</v>
      </c>
      <c r="Z30" s="401">
        <f t="shared" si="13"/>
        <v>13</v>
      </c>
      <c r="AA30" s="580"/>
      <c r="AB30" s="511">
        <f t="shared" si="19"/>
        <v>95.6</v>
      </c>
    </row>
    <row r="31" spans="1:28" ht="24.95" customHeight="1">
      <c r="A31" s="361" t="s">
        <v>30</v>
      </c>
      <c r="B31" s="362">
        <v>0</v>
      </c>
      <c r="C31" s="363">
        <v>1</v>
      </c>
      <c r="D31" s="363">
        <v>0</v>
      </c>
      <c r="E31" s="363">
        <v>7</v>
      </c>
      <c r="F31" s="363">
        <v>0</v>
      </c>
      <c r="G31" s="363">
        <v>4</v>
      </c>
      <c r="H31" s="363">
        <f t="shared" si="1"/>
        <v>11</v>
      </c>
      <c r="I31" s="363">
        <v>0</v>
      </c>
      <c r="J31" s="363">
        <v>2</v>
      </c>
      <c r="K31" s="363">
        <f t="shared" si="2"/>
        <v>2</v>
      </c>
      <c r="L31" s="364">
        <f t="shared" si="3"/>
        <v>14</v>
      </c>
      <c r="M31" s="365">
        <f t="shared" si="18"/>
        <v>0</v>
      </c>
      <c r="N31" s="363">
        <f t="shared" si="5"/>
        <v>44</v>
      </c>
      <c r="O31" s="363">
        <f t="shared" si="6"/>
        <v>88</v>
      </c>
      <c r="P31" s="363">
        <f t="shared" si="7"/>
        <v>8</v>
      </c>
      <c r="Q31" s="366">
        <f t="shared" si="8"/>
        <v>140</v>
      </c>
      <c r="R31" s="459">
        <v>96.153996376313017</v>
      </c>
      <c r="S31" s="367">
        <v>96.739965929546983</v>
      </c>
      <c r="T31" s="368">
        <v>95.889469137076517</v>
      </c>
      <c r="U31" s="396">
        <f t="shared" si="9"/>
        <v>96.276881794435909</v>
      </c>
      <c r="V31" s="369">
        <f>(B31*$B$7)*M31/Q31+(C31*$C$7)*N31/Q31+(D31*$D$7+E31*$E$7+F31*$F$7+G31*$G$7)*O31/Q31/H31+(I31*$I$7+J31*$J$7)*P31/Q31/K31</f>
        <v>95.635075356151575</v>
      </c>
      <c r="W31" s="367">
        <f>B31*$B$8*M31/Q31+C31*$C$8*N31/Q31+(D31*$D$8+E31*$E$8+F31*$F$8+G31*$G$8)*O31/Q31/H31+(I31*$I$8+J31*$J$8)*P31/Q31/K31</f>
        <v>95.243007391350986</v>
      </c>
      <c r="X31" s="370">
        <f>B31*$B$9*M31/Q31+C31*$C$9*N31/Q31+(D31*$D$9+E31*$E$9+F31*$F$9+G31*$G$9)*O31/Q31/H31+(I31*$I$9+J31*$J$9)*P31/Q31/K31</f>
        <v>95.281022827017892</v>
      </c>
      <c r="Y31" s="407">
        <f t="shared" si="12"/>
        <v>95.446644460884656</v>
      </c>
      <c r="Z31" s="401">
        <f t="shared" si="13"/>
        <v>12</v>
      </c>
      <c r="AA31" s="580"/>
      <c r="AB31" s="511">
        <f t="shared" si="19"/>
        <v>95.6</v>
      </c>
    </row>
    <row r="32" spans="1:28" ht="24.95" customHeight="1">
      <c r="A32" s="361" t="s">
        <v>24</v>
      </c>
      <c r="B32" s="362">
        <v>0</v>
      </c>
      <c r="C32" s="363">
        <v>1</v>
      </c>
      <c r="D32" s="363">
        <v>0</v>
      </c>
      <c r="E32" s="363">
        <v>2</v>
      </c>
      <c r="F32" s="363">
        <v>0</v>
      </c>
      <c r="G32" s="363">
        <v>3</v>
      </c>
      <c r="H32" s="363">
        <f t="shared" si="1"/>
        <v>5</v>
      </c>
      <c r="I32" s="363">
        <v>0</v>
      </c>
      <c r="J32" s="363">
        <v>0</v>
      </c>
      <c r="K32" s="363">
        <f t="shared" si="2"/>
        <v>0</v>
      </c>
      <c r="L32" s="364">
        <f t="shared" si="3"/>
        <v>6</v>
      </c>
      <c r="M32" s="365">
        <f t="shared" si="18"/>
        <v>0</v>
      </c>
      <c r="N32" s="363">
        <f t="shared" si="5"/>
        <v>44</v>
      </c>
      <c r="O32" s="363">
        <f t="shared" si="6"/>
        <v>40</v>
      </c>
      <c r="P32" s="363">
        <f t="shared" si="7"/>
        <v>0</v>
      </c>
      <c r="Q32" s="366">
        <f t="shared" si="8"/>
        <v>84</v>
      </c>
      <c r="R32" s="459">
        <v>95.548278787597042</v>
      </c>
      <c r="S32" s="367">
        <v>96.246553996261412</v>
      </c>
      <c r="T32" s="368">
        <v>96.110944034318678</v>
      </c>
      <c r="U32" s="396">
        <f t="shared" si="9"/>
        <v>95.870294399540683</v>
      </c>
      <c r="V32" s="369">
        <f>(B32*$B$7)*M32/Q32+(C32*$C$7)*N32/Q32+(D32*$D$7+E32*$E$7+F32*$F$7+G32*$G$7)*O32/Q32/H32</f>
        <v>95.795199228602542</v>
      </c>
      <c r="W32" s="367">
        <f>B32*$B$8*M32/Q32+C32*$C$8*N32/Q32+(D32*$D$8+E32*$E$8+F32*$F$8+G32*$G$8)*O32/Q32/H32</f>
        <v>95.404151075802901</v>
      </c>
      <c r="X32" s="370">
        <f>B32*$B$9*M32/Q32+C32*$C$9*N32/Q32+(D32*$D$9+E32*$E$9+F32*$F$9+G32*$G$9)*O32/Q32/H32</f>
        <v>95.156667231588997</v>
      </c>
      <c r="Y32" s="407">
        <f>V32*0.5+W32*0.3+X32*0.2</f>
        <v>95.550178383359935</v>
      </c>
      <c r="Z32" s="401">
        <f t="shared" si="13"/>
        <v>11</v>
      </c>
      <c r="AA32" s="580"/>
      <c r="AB32" s="511">
        <f t="shared" si="19"/>
        <v>95.6</v>
      </c>
    </row>
    <row r="33" spans="1:28" ht="24.95" customHeight="1">
      <c r="A33" s="361" t="s">
        <v>29</v>
      </c>
      <c r="B33" s="362">
        <v>0</v>
      </c>
      <c r="C33" s="363">
        <v>1</v>
      </c>
      <c r="D33" s="363">
        <v>0</v>
      </c>
      <c r="E33" s="363">
        <v>3</v>
      </c>
      <c r="F33" s="363">
        <v>0</v>
      </c>
      <c r="G33" s="363">
        <v>4</v>
      </c>
      <c r="H33" s="363">
        <f t="shared" si="1"/>
        <v>7</v>
      </c>
      <c r="I33" s="363">
        <v>0</v>
      </c>
      <c r="J33" s="363">
        <v>1</v>
      </c>
      <c r="K33" s="363">
        <f t="shared" si="2"/>
        <v>1</v>
      </c>
      <c r="L33" s="364">
        <f t="shared" si="3"/>
        <v>9</v>
      </c>
      <c r="M33" s="365">
        <f t="shared" si="18"/>
        <v>0</v>
      </c>
      <c r="N33" s="363">
        <f t="shared" si="5"/>
        <v>44</v>
      </c>
      <c r="O33" s="363">
        <f t="shared" si="6"/>
        <v>56</v>
      </c>
      <c r="P33" s="363">
        <f t="shared" si="7"/>
        <v>4</v>
      </c>
      <c r="Q33" s="366">
        <f t="shared" si="8"/>
        <v>104</v>
      </c>
      <c r="R33" s="459">
        <v>96.363200370808983</v>
      </c>
      <c r="S33" s="367">
        <v>95.884930002447561</v>
      </c>
      <c r="T33" s="368">
        <v>94.404882933888857</v>
      </c>
      <c r="U33" s="396">
        <f t="shared" si="9"/>
        <v>95.828055772916528</v>
      </c>
      <c r="V33" s="369">
        <f>(B33*$B$7)*M33/Q33+(C33*$C$7)*N33/Q33+(D33*$D$7+E33*$E$7+F33*$F$7+G33*$G$7)*O33/Q33/H33+(I33*$I$7+J33*$J$7)*P33/Q33/K33</f>
        <v>95.788604834027382</v>
      </c>
      <c r="W33" s="367">
        <f>B33*$B$8*M33/Q33+C33*$C$8*N33/Q33+(D33*$D$8+E33*$E$8+F33*$F$8+G33*$G$8)*O33/Q33/H33+(I33*$I$8+J33*$J$8)*P33/Q33/K33</f>
        <v>95.386407405603222</v>
      </c>
      <c r="X33" s="370">
        <f>B33*$B$9*M33/Q33+C33*$C$9*N33/Q33+(D33*$D$9+E33*$E$9+F33*$F$9+G33*$G$9)*O33/Q33/H33+(I33*$I$9+J33*$J$9)*P33/Q33/K33</f>
        <v>95.295761051200969</v>
      </c>
      <c r="Y33" s="407">
        <f t="shared" si="12"/>
        <v>95.569376848934851</v>
      </c>
      <c r="Z33" s="401">
        <f t="shared" si="13"/>
        <v>10</v>
      </c>
      <c r="AA33" s="580"/>
      <c r="AB33" s="511">
        <f t="shared" si="19"/>
        <v>95.6</v>
      </c>
    </row>
    <row r="34" spans="1:28" ht="24.95" customHeight="1">
      <c r="A34" s="361" t="s">
        <v>28</v>
      </c>
      <c r="B34" s="362">
        <v>0</v>
      </c>
      <c r="C34" s="363">
        <v>1</v>
      </c>
      <c r="D34" s="363">
        <v>0</v>
      </c>
      <c r="E34" s="363">
        <v>3</v>
      </c>
      <c r="F34" s="363">
        <v>0</v>
      </c>
      <c r="G34" s="363">
        <v>4</v>
      </c>
      <c r="H34" s="363">
        <f t="shared" si="1"/>
        <v>7</v>
      </c>
      <c r="I34" s="363">
        <v>0</v>
      </c>
      <c r="J34" s="363">
        <v>0</v>
      </c>
      <c r="K34" s="363">
        <f t="shared" si="2"/>
        <v>0</v>
      </c>
      <c r="L34" s="364">
        <f t="shared" si="3"/>
        <v>8</v>
      </c>
      <c r="M34" s="365">
        <f t="shared" si="18"/>
        <v>0</v>
      </c>
      <c r="N34" s="363">
        <f t="shared" si="5"/>
        <v>44</v>
      </c>
      <c r="O34" s="363">
        <f t="shared" si="6"/>
        <v>56</v>
      </c>
      <c r="P34" s="363">
        <f t="shared" si="7"/>
        <v>0</v>
      </c>
      <c r="Q34" s="366">
        <f t="shared" si="8"/>
        <v>100</v>
      </c>
      <c r="R34" s="459">
        <v>96.330502702219832</v>
      </c>
      <c r="S34" s="367">
        <v>94.027654936396871</v>
      </c>
      <c r="T34" s="368">
        <v>94.690154463126007</v>
      </c>
      <c r="U34" s="396">
        <f t="shared" si="9"/>
        <v>95.311578724654183</v>
      </c>
      <c r="V34" s="369">
        <f>(B34*$B$7)*M34/Q34+(C34*$C$7)*N34/Q34+(D34*$D$7+E34*$E$7+F34*$F$7+G34*$G$7)*O34/Q34/H34</f>
        <v>95.811737812435211</v>
      </c>
      <c r="W34" s="367">
        <f>B34*$B$8*M34/Q34+C34*$C$8*N34/Q34+(D34*$D$8+E34*$E$8+F34*$F$8+G34*$G$8)*O34/Q34/H34</f>
        <v>95.449870974554642</v>
      </c>
      <c r="X34" s="370">
        <f>B34*$B$9*M34/Q34+C34*$C$9*N34/Q34+(D34*$D$9+E34*$E$9+F34*$F$9+G34*$G$9)*O34/Q34/H34</f>
        <v>95.237610540868047</v>
      </c>
      <c r="Y34" s="407">
        <f t="shared" si="12"/>
        <v>95.588352306757599</v>
      </c>
      <c r="Z34" s="401">
        <f t="shared" si="13"/>
        <v>9</v>
      </c>
      <c r="AA34" s="580"/>
      <c r="AB34" s="511">
        <f t="shared" si="19"/>
        <v>95.6</v>
      </c>
    </row>
    <row r="35" spans="1:28" ht="24.95" customHeight="1">
      <c r="A35" s="361" t="s">
        <v>15</v>
      </c>
      <c r="B35" s="362">
        <v>0</v>
      </c>
      <c r="C35" s="363">
        <v>1</v>
      </c>
      <c r="D35" s="363">
        <v>0</v>
      </c>
      <c r="E35" s="363">
        <v>4</v>
      </c>
      <c r="F35" s="363">
        <v>0</v>
      </c>
      <c r="G35" s="363">
        <v>6</v>
      </c>
      <c r="H35" s="363">
        <f t="shared" si="1"/>
        <v>10</v>
      </c>
      <c r="I35" s="363">
        <v>0</v>
      </c>
      <c r="J35" s="363">
        <v>3</v>
      </c>
      <c r="K35" s="363">
        <f t="shared" si="2"/>
        <v>3</v>
      </c>
      <c r="L35" s="364">
        <f t="shared" si="3"/>
        <v>14</v>
      </c>
      <c r="M35" s="365">
        <f t="shared" si="18"/>
        <v>0</v>
      </c>
      <c r="N35" s="363">
        <f t="shared" si="5"/>
        <v>44</v>
      </c>
      <c r="O35" s="363">
        <f t="shared" si="6"/>
        <v>80</v>
      </c>
      <c r="P35" s="363">
        <f t="shared" si="7"/>
        <v>12</v>
      </c>
      <c r="Q35" s="366">
        <f t="shared" si="8"/>
        <v>136</v>
      </c>
      <c r="R35" s="459">
        <v>95.518005621277879</v>
      </c>
      <c r="S35" s="367">
        <v>94.728295335246543</v>
      </c>
      <c r="T35" s="368">
        <v>94.887215039018727</v>
      </c>
      <c r="U35" s="396">
        <f t="shared" si="9"/>
        <v>95.154934419016641</v>
      </c>
      <c r="V35" s="369">
        <f>(B35*$B$7)*M35/Q35+(C35*$C$7)*N35/Q35+(D35*$D$7+E35*$E$7+F35*$F$7+G35*$G$7)*O35/Q35/H35+(I35*$I$7+J35*$J$7)*P35/Q35/K35</f>
        <v>95.815717694151161</v>
      </c>
      <c r="W35" s="367">
        <f>B35*$B$8*M35/Q35+C35*$C$8*N35/Q35+(D35*$D$8+E35*$E$8+F35*$F$8+G35*$G$8)*O35/Q35/H35+(I35*$I$8+J35*$J$8)*P35/Q35/K35</f>
        <v>95.38972707237896</v>
      </c>
      <c r="X35" s="370">
        <f>B35*$B$9*M35/Q35+C35*$C$9*N35/Q35+(D35*$D$9+E35*$E$9+F35*$F$9+G35*$G$9)*O35/Q35/H35+(I35*$I$9+J35*$J$9)*P35/Q35/K35</f>
        <v>95.482065185756412</v>
      </c>
      <c r="Y35" s="407">
        <f t="shared" si="12"/>
        <v>95.621190005940548</v>
      </c>
      <c r="Z35" s="401">
        <f t="shared" si="13"/>
        <v>8</v>
      </c>
      <c r="AA35" s="580"/>
      <c r="AB35" s="511">
        <f t="shared" si="19"/>
        <v>95.6</v>
      </c>
    </row>
    <row r="36" spans="1:28" ht="24.95" customHeight="1">
      <c r="A36" s="361" t="s">
        <v>16</v>
      </c>
      <c r="B36" s="362">
        <v>0</v>
      </c>
      <c r="C36" s="363">
        <v>1</v>
      </c>
      <c r="D36" s="363">
        <v>0</v>
      </c>
      <c r="E36" s="363">
        <v>5</v>
      </c>
      <c r="F36" s="363">
        <v>0</v>
      </c>
      <c r="G36" s="363">
        <v>6</v>
      </c>
      <c r="H36" s="363">
        <f t="shared" si="1"/>
        <v>11</v>
      </c>
      <c r="I36" s="363">
        <v>0</v>
      </c>
      <c r="J36" s="363">
        <v>0</v>
      </c>
      <c r="K36" s="363">
        <f t="shared" si="2"/>
        <v>0</v>
      </c>
      <c r="L36" s="364">
        <f t="shared" si="3"/>
        <v>12</v>
      </c>
      <c r="M36" s="365">
        <f t="shared" si="18"/>
        <v>0</v>
      </c>
      <c r="N36" s="363">
        <f t="shared" si="5"/>
        <v>44</v>
      </c>
      <c r="O36" s="363">
        <f t="shared" si="6"/>
        <v>88</v>
      </c>
      <c r="P36" s="363">
        <f t="shared" si="7"/>
        <v>0</v>
      </c>
      <c r="Q36" s="366">
        <f t="shared" si="8"/>
        <v>132</v>
      </c>
      <c r="R36" s="459">
        <v>95.176461375310382</v>
      </c>
      <c r="S36" s="367">
        <v>96.720315351186713</v>
      </c>
      <c r="T36" s="368">
        <v>96.757187794192703</v>
      </c>
      <c r="U36" s="396">
        <f t="shared" si="9"/>
        <v>95.955762851849741</v>
      </c>
      <c r="V36" s="371">
        <f>(B36*$B$7)*M36/Q36+(C36*$C$7)*N36/Q36+(D36*$D$7+E36*$E$7+F36*$F$7+G36*$G$7)*O36/Q36/H36</f>
        <v>95.832786919131337</v>
      </c>
      <c r="W36" s="372">
        <f>B36*$B$8*M36/Q36+C36*$C$8*N36/Q36+(D36*$D$8+E36*$E$8+F36*$F$8+G36*$G$8)*O36/Q36/H36</f>
        <v>95.508059936602294</v>
      </c>
      <c r="X36" s="370">
        <f>B36*$B$9*M36/Q36+C36*$C$9*N36/Q36+(D36*$D$9+E36*$E$9+F36*$F$9+G36*$G$9)*O36/Q36/H36</f>
        <v>95.340629298132313</v>
      </c>
      <c r="Y36" s="407">
        <f t="shared" si="12"/>
        <v>95.636937300172818</v>
      </c>
      <c r="Z36" s="401">
        <f t="shared" si="13"/>
        <v>7</v>
      </c>
      <c r="AA36" s="580"/>
      <c r="AB36" s="511">
        <f t="shared" si="19"/>
        <v>95.6</v>
      </c>
    </row>
    <row r="37" spans="1:28" ht="24.95" customHeight="1">
      <c r="A37" s="361" t="s">
        <v>18</v>
      </c>
      <c r="B37" s="362">
        <v>0</v>
      </c>
      <c r="C37" s="363">
        <v>1</v>
      </c>
      <c r="D37" s="363">
        <v>0</v>
      </c>
      <c r="E37" s="363">
        <v>5</v>
      </c>
      <c r="F37" s="363">
        <v>0</v>
      </c>
      <c r="G37" s="363">
        <v>7</v>
      </c>
      <c r="H37" s="363">
        <f t="shared" si="1"/>
        <v>12</v>
      </c>
      <c r="I37" s="363">
        <v>0</v>
      </c>
      <c r="J37" s="363">
        <v>2</v>
      </c>
      <c r="K37" s="363">
        <f t="shared" si="2"/>
        <v>2</v>
      </c>
      <c r="L37" s="364">
        <f t="shared" si="3"/>
        <v>15</v>
      </c>
      <c r="M37" s="365">
        <f t="shared" si="18"/>
        <v>0</v>
      </c>
      <c r="N37" s="363">
        <f t="shared" si="5"/>
        <v>44</v>
      </c>
      <c r="O37" s="363">
        <f t="shared" si="6"/>
        <v>96</v>
      </c>
      <c r="P37" s="363">
        <f t="shared" si="7"/>
        <v>8</v>
      </c>
      <c r="Q37" s="366">
        <f t="shared" si="8"/>
        <v>148</v>
      </c>
      <c r="R37" s="459">
        <v>95.7071069554747</v>
      </c>
      <c r="S37" s="367">
        <v>95.297778580211641</v>
      </c>
      <c r="T37" s="368">
        <v>95.629443947935783</v>
      </c>
      <c r="U37" s="396">
        <f t="shared" si="9"/>
        <v>95.568775841388003</v>
      </c>
      <c r="V37" s="369">
        <f>(B37*$B$7)*M37/Q37+(C37*$C$7)*N37/Q37+(D37*$D$7+E37*$E$7+F37*$F$7+G37*$G$7)*O37/Q37/H37+(I37*$I$7+J37*$J$7)*P37/Q37/K37</f>
        <v>95.841037371284727</v>
      </c>
      <c r="W37" s="367">
        <f>B37*$B$8*M37/Q37+C37*$C$8*N37/Q37+(D37*$D$8+E37*$E$8+F37*$F$8+G37*$G$8)*O37/Q37/H37+(I37*$I$8+J37*$J$8)*P37/Q37/K37</f>
        <v>95.465148758137062</v>
      </c>
      <c r="X37" s="370">
        <f>B37*$B$9*M37/Q37+C37*$C$9*N37/Q37+(D37*$D$9+E37*$E$9+F37*$F$9+G37*$G$9)*O37/Q37/H37+(I37*$I$9+J37*$J$9)*P37/Q37/K37</f>
        <v>95.467322815257489</v>
      </c>
      <c r="Y37" s="407">
        <f t="shared" si="12"/>
        <v>95.653527876134973</v>
      </c>
      <c r="Z37" s="401">
        <f t="shared" si="13"/>
        <v>6</v>
      </c>
      <c r="AA37" s="580"/>
      <c r="AB37" s="511">
        <f t="shared" si="19"/>
        <v>95.6</v>
      </c>
    </row>
    <row r="38" spans="1:28" ht="24.95" customHeight="1">
      <c r="A38" s="361" t="s">
        <v>31</v>
      </c>
      <c r="B38" s="362">
        <v>0</v>
      </c>
      <c r="C38" s="363">
        <v>1</v>
      </c>
      <c r="D38" s="363">
        <v>0</v>
      </c>
      <c r="E38" s="363">
        <v>3</v>
      </c>
      <c r="F38" s="363">
        <v>0</v>
      </c>
      <c r="G38" s="363">
        <v>5</v>
      </c>
      <c r="H38" s="363">
        <f t="shared" si="1"/>
        <v>8</v>
      </c>
      <c r="I38" s="363">
        <v>0</v>
      </c>
      <c r="J38" s="363">
        <v>0</v>
      </c>
      <c r="K38" s="363">
        <f t="shared" si="2"/>
        <v>0</v>
      </c>
      <c r="L38" s="364">
        <f t="shared" si="3"/>
        <v>9</v>
      </c>
      <c r="M38" s="365">
        <f t="shared" si="18"/>
        <v>0</v>
      </c>
      <c r="N38" s="363">
        <f t="shared" si="5"/>
        <v>44</v>
      </c>
      <c r="O38" s="363">
        <f t="shared" si="6"/>
        <v>64</v>
      </c>
      <c r="P38" s="363">
        <f t="shared" si="7"/>
        <v>0</v>
      </c>
      <c r="Q38" s="366">
        <f t="shared" si="8"/>
        <v>108</v>
      </c>
      <c r="R38" s="459">
        <v>96.146259431069794</v>
      </c>
      <c r="S38" s="367">
        <v>97.173720221794696</v>
      </c>
      <c r="T38" s="368">
        <v>97.19799006158712</v>
      </c>
      <c r="U38" s="396">
        <f t="shared" si="9"/>
        <v>96.66484379439072</v>
      </c>
      <c r="V38" s="369">
        <f>(C38*$C$7)*N38/Q38+(E38*$E$7+G38*$G$7)*O38/Q38/H38</f>
        <v>95.870714776645073</v>
      </c>
      <c r="W38" s="367">
        <f>B38*$B$8*M38/Q38+C38*$C$8*N38/Q38+(D38*$D$8+E38*$E$8+F38*$F$8+G38*$G$8)*O38/Q38/H38</f>
        <v>95.521913486793508</v>
      </c>
      <c r="X38" s="370">
        <f>B38*$B$9*M38/Q38+C38*$C$9*N38/Q38+(D38*$D$9+E38*$E$9+F38*$F$9+G38*$G$9)*O38/Q38/H38</f>
        <v>95.314496045511646</v>
      </c>
      <c r="Y38" s="407">
        <f t="shared" si="12"/>
        <v>95.654830643462915</v>
      </c>
      <c r="Z38" s="401">
        <f t="shared" si="13"/>
        <v>5</v>
      </c>
      <c r="AA38" s="580"/>
      <c r="AB38" s="511">
        <f t="shared" si="19"/>
        <v>95.6</v>
      </c>
    </row>
    <row r="39" spans="1:28" ht="24.95" customHeight="1">
      <c r="A39" s="361" t="s">
        <v>14</v>
      </c>
      <c r="B39" s="362">
        <v>0</v>
      </c>
      <c r="C39" s="363">
        <v>1</v>
      </c>
      <c r="D39" s="363">
        <v>0</v>
      </c>
      <c r="E39" s="363">
        <v>2</v>
      </c>
      <c r="F39" s="363">
        <v>0</v>
      </c>
      <c r="G39" s="363">
        <v>5</v>
      </c>
      <c r="H39" s="363">
        <f t="shared" si="1"/>
        <v>7</v>
      </c>
      <c r="I39" s="363">
        <v>0</v>
      </c>
      <c r="J39" s="363">
        <v>1</v>
      </c>
      <c r="K39" s="363">
        <f t="shared" si="2"/>
        <v>1</v>
      </c>
      <c r="L39" s="364">
        <f t="shared" si="3"/>
        <v>9</v>
      </c>
      <c r="M39" s="365">
        <f t="shared" si="18"/>
        <v>0</v>
      </c>
      <c r="N39" s="363">
        <f t="shared" si="5"/>
        <v>44</v>
      </c>
      <c r="O39" s="363">
        <f t="shared" si="6"/>
        <v>56</v>
      </c>
      <c r="P39" s="363">
        <f t="shared" si="7"/>
        <v>4</v>
      </c>
      <c r="Q39" s="366">
        <f t="shared" si="8"/>
        <v>104</v>
      </c>
      <c r="R39" s="459">
        <v>95.672241557102353</v>
      </c>
      <c r="S39" s="367">
        <v>94.880221707327522</v>
      </c>
      <c r="T39" s="368">
        <v>94.723515179895728</v>
      </c>
      <c r="U39" s="396">
        <f t="shared" si="9"/>
        <v>95.24489032672858</v>
      </c>
      <c r="V39" s="369">
        <f>(B39*$B$7)*M39/Q39+(C39*$C$7)*N39/Q39+(D39*$D$7+E39*$E$7+F39*$F$7+G39*$G$7)*O39/Q39/H39+(I39*$I$7+J39*$J$7)*P39/Q39/K39</f>
        <v>95.897737365059939</v>
      </c>
      <c r="W39" s="367">
        <f>B39*$B$8*M39/Q39+C39*$C$8*N39/Q39+(D39*$D$8+E39*$E$8+F39*$F$8+G39*$G$8)*O39/Q39/H39+(I39*$I$8+J39*$J$8)*P39/Q39/K39</f>
        <v>95.499106551261434</v>
      </c>
      <c r="X39" s="370">
        <f>B39*$B$9*M39/Q39+C39*$C$9*N39/Q39+(D39*$D$9+E39*$E$9+F39*$F$9+G39*$G$9)*O39/Q39/H39+(I39*$I$9+J39*$J$9)*P39/Q39/K39</f>
        <v>95.390069041812268</v>
      </c>
      <c r="Y39" s="407">
        <f t="shared" si="12"/>
        <v>95.676614456270855</v>
      </c>
      <c r="Z39" s="401">
        <f t="shared" si="13"/>
        <v>4</v>
      </c>
      <c r="AA39" s="580"/>
      <c r="AB39" s="511">
        <f t="shared" si="19"/>
        <v>95.6</v>
      </c>
    </row>
    <row r="40" spans="1:28" ht="24.95" customHeight="1">
      <c r="A40" s="361" t="s">
        <v>21</v>
      </c>
      <c r="B40" s="362">
        <v>0</v>
      </c>
      <c r="C40" s="363">
        <v>1</v>
      </c>
      <c r="D40" s="363">
        <v>0</v>
      </c>
      <c r="E40" s="363">
        <v>6</v>
      </c>
      <c r="F40" s="363">
        <v>0</v>
      </c>
      <c r="G40" s="363">
        <v>8</v>
      </c>
      <c r="H40" s="363">
        <f>D40+E40+F40+G40</f>
        <v>14</v>
      </c>
      <c r="I40" s="363">
        <v>0</v>
      </c>
      <c r="J40" s="363">
        <v>1</v>
      </c>
      <c r="K40" s="363">
        <f>I40+J40</f>
        <v>1</v>
      </c>
      <c r="L40" s="364">
        <f>+B40+C40+H40+K40</f>
        <v>16</v>
      </c>
      <c r="M40" s="365">
        <f>B40*6*11</f>
        <v>0</v>
      </c>
      <c r="N40" s="363">
        <f>C40*4*11</f>
        <v>44</v>
      </c>
      <c r="O40" s="363">
        <f>SUM(D40:G40)*8</f>
        <v>112</v>
      </c>
      <c r="P40" s="363">
        <f>SUM(I40:J40)*4</f>
        <v>4</v>
      </c>
      <c r="Q40" s="366">
        <f>M40+N40+O40+P40</f>
        <v>160</v>
      </c>
      <c r="R40" s="459">
        <v>97.115855457227127</v>
      </c>
      <c r="S40" s="367">
        <v>96.82394698070965</v>
      </c>
      <c r="T40" s="368">
        <v>95.602115522621645</v>
      </c>
      <c r="U40" s="396">
        <f>R40*0.5+S40*0.3+T40*0.2</f>
        <v>96.725534927350793</v>
      </c>
      <c r="V40" s="369">
        <f>(B40*$B$7)*M40/Q40+(C40*$C$7)*N40/Q40+(D40*$D$7+E40*$E$7+F40*$F$7+G40*$G$7)*O40/Q40/H40+(I40*$I$7+J40*$J$7)*P40/Q40/K40</f>
        <v>95.862559096848258</v>
      </c>
      <c r="W40" s="367">
        <f>B40*$B$8*M40/Q40+C40*$C$8*N40/Q40+(D40*$D$8+E40*$E$8+F40*$F$8+G40*$G$8)*O40/Q40/H40+(I40*$I$8+J40*$J$8)*P40/Q40/K40</f>
        <v>95.529257191031434</v>
      </c>
      <c r="X40" s="370">
        <f>B40*$B$9*M40/Q40+C40*$C$9*N40/Q40+(D40*$D$9+E40*$E$9+F40*$F$9+G40*$G$9)*O40/Q40/H40+(I40*$I$9+J40*$J$9)*P40/Q40/K40</f>
        <v>95.454791800333382</v>
      </c>
      <c r="Y40" s="407">
        <f>V40*0.5+W40*0.3+X40*0.2</f>
        <v>95.681015065800239</v>
      </c>
      <c r="Z40" s="401">
        <f t="shared" si="13"/>
        <v>3</v>
      </c>
      <c r="AA40" s="580"/>
      <c r="AB40" s="511">
        <f t="shared" si="19"/>
        <v>95.6</v>
      </c>
    </row>
    <row r="41" spans="1:28" ht="24.95" customHeight="1">
      <c r="A41" s="361" t="s">
        <v>26</v>
      </c>
      <c r="B41" s="362">
        <v>0</v>
      </c>
      <c r="C41" s="363">
        <v>1</v>
      </c>
      <c r="D41" s="363">
        <v>0</v>
      </c>
      <c r="E41" s="363">
        <v>5</v>
      </c>
      <c r="F41" s="363">
        <v>0</v>
      </c>
      <c r="G41" s="363">
        <v>7</v>
      </c>
      <c r="H41" s="363">
        <f t="shared" si="1"/>
        <v>12</v>
      </c>
      <c r="I41" s="363">
        <v>0</v>
      </c>
      <c r="J41" s="363">
        <v>0</v>
      </c>
      <c r="K41" s="363">
        <f t="shared" si="2"/>
        <v>0</v>
      </c>
      <c r="L41" s="364">
        <f t="shared" si="3"/>
        <v>13</v>
      </c>
      <c r="M41" s="365">
        <f t="shared" si="18"/>
        <v>0</v>
      </c>
      <c r="N41" s="363">
        <f t="shared" si="5"/>
        <v>44</v>
      </c>
      <c r="O41" s="363">
        <f t="shared" si="6"/>
        <v>96</v>
      </c>
      <c r="P41" s="363">
        <f t="shared" si="7"/>
        <v>0</v>
      </c>
      <c r="Q41" s="366">
        <f t="shared" si="8"/>
        <v>140</v>
      </c>
      <c r="R41" s="459">
        <v>96.80257352941176</v>
      </c>
      <c r="S41" s="367">
        <v>94.708506707832072</v>
      </c>
      <c r="T41" s="368">
        <v>95.52216750426814</v>
      </c>
      <c r="U41" s="396">
        <f t="shared" si="9"/>
        <v>95.918272277909139</v>
      </c>
      <c r="V41" s="369">
        <f>(B41*$B$7)*M41/Q41+(C41*$C$7)*N41/Q41+(D41*$D$7+E41*$E$7+F41*$F$7+G41*$G$7)*O41/Q41/H41</f>
        <v>95.87708062828203</v>
      </c>
      <c r="W41" s="367">
        <f>B41*$B$8*M41/Q41+C41*$C$8*N41/Q41+(D41*$D$8+E41*$E$8+F41*$F$8+G41*$G$8)*O41/Q41/H41</f>
        <v>95.560310505355289</v>
      </c>
      <c r="X41" s="370">
        <f>B41*$B$9*M41/Q41+C41*$C$9*N41/Q41+(D41*$D$9+E41*$E$9+F41*$F$9+G41*$G$9)*O41/Q41/H41</f>
        <v>95.394054187013694</v>
      </c>
      <c r="Y41" s="407">
        <f t="shared" si="12"/>
        <v>95.685444303150348</v>
      </c>
      <c r="Z41" s="401">
        <f t="shared" si="13"/>
        <v>2</v>
      </c>
      <c r="AA41" s="580"/>
      <c r="AB41" s="511">
        <f t="shared" si="19"/>
        <v>95.6</v>
      </c>
    </row>
    <row r="42" spans="1:28" ht="24.95" customHeight="1" thickBot="1">
      <c r="A42" s="373" t="s">
        <v>20</v>
      </c>
      <c r="B42" s="374">
        <v>0</v>
      </c>
      <c r="C42" s="375">
        <v>1</v>
      </c>
      <c r="D42" s="375">
        <v>0</v>
      </c>
      <c r="E42" s="375">
        <v>3</v>
      </c>
      <c r="F42" s="375">
        <v>0</v>
      </c>
      <c r="G42" s="375">
        <v>6</v>
      </c>
      <c r="H42" s="375">
        <f t="shared" si="1"/>
        <v>9</v>
      </c>
      <c r="I42" s="375">
        <v>0</v>
      </c>
      <c r="J42" s="375">
        <v>0</v>
      </c>
      <c r="K42" s="375">
        <f t="shared" si="2"/>
        <v>0</v>
      </c>
      <c r="L42" s="376">
        <f t="shared" si="3"/>
        <v>10</v>
      </c>
      <c r="M42" s="377">
        <f t="shared" si="18"/>
        <v>0</v>
      </c>
      <c r="N42" s="375">
        <f t="shared" si="5"/>
        <v>44</v>
      </c>
      <c r="O42" s="375">
        <f t="shared" si="6"/>
        <v>72</v>
      </c>
      <c r="P42" s="375">
        <f t="shared" si="7"/>
        <v>0</v>
      </c>
      <c r="Q42" s="378">
        <f t="shared" si="8"/>
        <v>116</v>
      </c>
      <c r="R42" s="460">
        <v>96.961403508771923</v>
      </c>
      <c r="S42" s="379">
        <v>96.363114487929664</v>
      </c>
      <c r="T42" s="380">
        <v>96.891148667084011</v>
      </c>
      <c r="U42" s="461">
        <f t="shared" si="9"/>
        <v>96.767865834181663</v>
      </c>
      <c r="V42" s="381">
        <f>(B42*$B$7)*M42/Q42+(C42*$C$7)*N42/Q42+(D42*$D$7+E42*$E$7+F42*$F$7+G42*$G$7)*O42/Q42/H42</f>
        <v>95.921556987170817</v>
      </c>
      <c r="W42" s="379">
        <f>B42*$B$8*M42/Q42+C42*$C$8*N42/Q42+(D42*$D$8+E42*$E$8+F42*$F$8+G42*$G$8)*O42/Q42/H42</f>
        <v>95.584019100792574</v>
      </c>
      <c r="X42" s="382">
        <f>B42*$B$9*M42/Q42+C42*$C$9*N42/Q42+(D42*$D$9+E42*$E$9+F42*$F$9+G42*$G$9)*O42/Q42/H42</f>
        <v>95.380776652963021</v>
      </c>
      <c r="Y42" s="462">
        <f t="shared" si="12"/>
        <v>95.712139554415785</v>
      </c>
      <c r="Z42" s="402">
        <f t="shared" si="13"/>
        <v>1</v>
      </c>
      <c r="AA42" s="581"/>
      <c r="AB42" s="512">
        <f t="shared" si="19"/>
        <v>95.6</v>
      </c>
    </row>
    <row r="43" spans="1:28" ht="21.95" hidden="1" customHeight="1" thickBot="1">
      <c r="A43" s="385" t="s">
        <v>323</v>
      </c>
      <c r="B43" s="386">
        <v>66</v>
      </c>
      <c r="C43" s="386">
        <v>44</v>
      </c>
      <c r="D43" s="386">
        <v>8</v>
      </c>
      <c r="E43" s="386">
        <v>8</v>
      </c>
      <c r="F43" s="386">
        <v>8</v>
      </c>
      <c r="G43" s="386">
        <v>8</v>
      </c>
      <c r="H43" s="386"/>
      <c r="I43" s="386">
        <v>4</v>
      </c>
      <c r="J43" s="386">
        <v>4</v>
      </c>
      <c r="K43" s="386"/>
      <c r="L43" s="386"/>
      <c r="M43" s="386"/>
      <c r="N43" s="386"/>
      <c r="O43" s="386"/>
      <c r="P43" s="386"/>
      <c r="Q43" s="386">
        <f t="shared" ref="Q43:Q44" si="20">SUM(M43:P44)</f>
        <v>0</v>
      </c>
      <c r="R43" s="386"/>
      <c r="S43" s="387"/>
      <c r="T43" s="387"/>
      <c r="U43" s="387"/>
      <c r="V43" s="388"/>
      <c r="W43" s="389"/>
    </row>
    <row r="44" spans="1:28" ht="21.95" hidden="1" customHeight="1">
      <c r="B44" s="304">
        <v>1144</v>
      </c>
      <c r="C44" s="304">
        <f>C10*C43</f>
        <v>616</v>
      </c>
      <c r="D44" s="304">
        <f>D10*D43</f>
        <v>760</v>
      </c>
      <c r="E44" s="304">
        <f>E10*E43</f>
        <v>872</v>
      </c>
      <c r="F44" s="304">
        <f>F10*F43</f>
        <v>48</v>
      </c>
      <c r="G44" s="304">
        <f>G10*G43</f>
        <v>1032</v>
      </c>
      <c r="I44" s="304">
        <f>I10*I43</f>
        <v>304</v>
      </c>
      <c r="J44" s="304">
        <f>J10*J43</f>
        <v>108</v>
      </c>
      <c r="L44" s="304">
        <f>SUM(B44:J44)</f>
        <v>4884</v>
      </c>
      <c r="Q44" s="304">
        <f t="shared" si="20"/>
        <v>0</v>
      </c>
    </row>
    <row r="45" spans="1:28" ht="21.95" customHeight="1">
      <c r="Q45" s="390"/>
      <c r="V45" s="391"/>
      <c r="W45" s="391"/>
    </row>
  </sheetData>
  <sortState ref="A11:AA42">
    <sortCondition descending="1" ref="Z11:Z42"/>
  </sortState>
  <mergeCells count="42">
    <mergeCell ref="A1:AB1"/>
    <mergeCell ref="V4:AB4"/>
    <mergeCell ref="AB5:AB6"/>
    <mergeCell ref="Q4:Q6"/>
    <mergeCell ref="R4:U4"/>
    <mergeCell ref="Y5:Y6"/>
    <mergeCell ref="R3:AB3"/>
    <mergeCell ref="A3:A6"/>
    <mergeCell ref="B3:L3"/>
    <mergeCell ref="M3:Q3"/>
    <mergeCell ref="B4:C5"/>
    <mergeCell ref="D4:H4"/>
    <mergeCell ref="I4:K5"/>
    <mergeCell ref="L4:L6"/>
    <mergeCell ref="D5:E5"/>
    <mergeCell ref="F5:G5"/>
    <mergeCell ref="U7:U10"/>
    <mergeCell ref="T5:T6"/>
    <mergeCell ref="U5:U6"/>
    <mergeCell ref="R5:R6"/>
    <mergeCell ref="S5:S6"/>
    <mergeCell ref="H5:H6"/>
    <mergeCell ref="M4:N5"/>
    <mergeCell ref="O4:O6"/>
    <mergeCell ref="P4:P6"/>
    <mergeCell ref="AA29:AA42"/>
    <mergeCell ref="AA5:AA6"/>
    <mergeCell ref="AA11:AA15"/>
    <mergeCell ref="AA16:AA21"/>
    <mergeCell ref="Z5:Z6"/>
    <mergeCell ref="V5:V6"/>
    <mergeCell ref="W5:W6"/>
    <mergeCell ref="X5:X6"/>
    <mergeCell ref="AA22:AA28"/>
    <mergeCell ref="R7:R10"/>
    <mergeCell ref="S7:S10"/>
    <mergeCell ref="T7:T10"/>
    <mergeCell ref="AB7:AB10"/>
    <mergeCell ref="V7:V10"/>
    <mergeCell ref="W7:W10"/>
    <mergeCell ref="X7:X10"/>
    <mergeCell ref="Y7:Y10"/>
  </mergeCells>
  <phoneticPr fontId="2" type="noConversion"/>
  <printOptions horizontalCentered="1"/>
  <pageMargins left="0.59055118110236227" right="0.59055118110236227" top="0.62992125984251968" bottom="0.43307086614173229" header="0.31496062992125984" footer="0.23622047244094491"/>
  <pageSetup paperSize="9" scale="46" orientation="landscape" r:id="rId1"/>
  <ignoredErrors>
    <ignoredError sqref="B10:G10 O40:O42 I10:J10 O11:O36 O37:O39" formulaRange="1"/>
    <ignoredError sqref="M25 M28 V30:X30 V36:X36 V38:X38 V34:X34 V32:X32 V31:X31 V33:X33 V35:X35 W39:X39 W37:X37" formula="1"/>
    <ignoredError sqref="H10" formula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6"/>
  <sheetViews>
    <sheetView zoomScaleNormal="100" zoomScaleSheetLayoutView="100" workbookViewId="0">
      <selection activeCell="A9" sqref="A9"/>
    </sheetView>
  </sheetViews>
  <sheetFormatPr defaultRowHeight="20.100000000000001" customHeight="1"/>
  <cols>
    <col min="1" max="1" width="16.25" style="215" customWidth="1"/>
    <col min="2" max="5" width="10.625" style="215" customWidth="1"/>
    <col min="6" max="7" width="10.625" style="221" customWidth="1"/>
    <col min="8" max="8" width="11.625" style="221" customWidth="1"/>
    <col min="9" max="9" width="13.875" style="215" bestFit="1" customWidth="1"/>
    <col min="10" max="10" width="2.875" style="215" customWidth="1"/>
    <col min="11" max="11" width="9.75" style="215" bestFit="1" customWidth="1"/>
    <col min="12" max="16384" width="9" style="215"/>
  </cols>
  <sheetData>
    <row r="1" spans="1:11" ht="31.5" customHeight="1">
      <c r="A1" s="547" t="s">
        <v>327</v>
      </c>
      <c r="B1" s="547"/>
      <c r="C1" s="547"/>
      <c r="D1" s="547"/>
      <c r="E1" s="547"/>
      <c r="F1" s="547"/>
      <c r="G1" s="547"/>
      <c r="H1" s="547"/>
      <c r="I1" s="547"/>
    </row>
    <row r="6" spans="1:11" ht="20.100000000000001" customHeight="1" thickBot="1"/>
    <row r="7" spans="1:11" ht="20.100000000000001" customHeight="1" thickTop="1">
      <c r="A7" s="639" t="s">
        <v>299</v>
      </c>
      <c r="B7" s="641" t="s">
        <v>434</v>
      </c>
      <c r="C7" s="641" t="s">
        <v>435</v>
      </c>
      <c r="D7" s="641" t="s">
        <v>436</v>
      </c>
      <c r="E7" s="643" t="s">
        <v>437</v>
      </c>
      <c r="F7" s="645" t="s">
        <v>326</v>
      </c>
      <c r="G7" s="637" t="s">
        <v>442</v>
      </c>
      <c r="H7" s="635" t="s">
        <v>400</v>
      </c>
      <c r="I7" s="636"/>
      <c r="K7" s="634" t="s">
        <v>443</v>
      </c>
    </row>
    <row r="8" spans="1:11" ht="20.100000000000001" customHeight="1">
      <c r="A8" s="640"/>
      <c r="B8" s="642"/>
      <c r="C8" s="642"/>
      <c r="D8" s="642"/>
      <c r="E8" s="644"/>
      <c r="F8" s="646"/>
      <c r="G8" s="638"/>
      <c r="H8" s="518" t="s">
        <v>438</v>
      </c>
      <c r="I8" s="517" t="s">
        <v>439</v>
      </c>
      <c r="K8" s="634"/>
    </row>
    <row r="9" spans="1:11" ht="20.100000000000001" customHeight="1">
      <c r="A9" s="229" t="s">
        <v>0</v>
      </c>
      <c r="B9" s="533">
        <f>VLOOKUP($A9,연도별!$A$2:$AH$36,6,0)</f>
        <v>94.819162205583311</v>
      </c>
      <c r="C9" s="533">
        <f>VLOOKUP($A9,연도별!$A$2:$AH$36,15,0)</f>
        <v>92.556868558567189</v>
      </c>
      <c r="D9" s="533">
        <f>VLOOKUP($A9,연도별!$A$2:$AH$36,23,0)</f>
        <v>94.263373531377468</v>
      </c>
      <c r="E9" s="533">
        <f>B9*0.5+C9*0.3+D9*0.2</f>
        <v>94.029316376637311</v>
      </c>
      <c r="F9" s="529">
        <f>VLOOKUP($A9,'[1](창구)목표'!$A$3:$O$39,15,0)</f>
        <v>94.25</v>
      </c>
      <c r="G9" s="530">
        <f>VLOOKUP($A9,'목표(창구)'!$A$3:$AB$42,28,0)</f>
        <v>93.8</v>
      </c>
      <c r="H9" s="519">
        <f>G9-E9</f>
        <v>-0.22931637663731408</v>
      </c>
      <c r="I9" s="519">
        <f t="shared" ref="I9:I40" si="0">G9-F9</f>
        <v>-0.45000000000000284</v>
      </c>
      <c r="K9" s="527">
        <f>B9/G9*100</f>
        <v>101.086526871624</v>
      </c>
    </row>
    <row r="10" spans="1:11" ht="20.100000000000001" customHeight="1">
      <c r="A10" s="229" t="s">
        <v>1</v>
      </c>
      <c r="B10" s="533">
        <f>VLOOKUP($A10,연도별!$A$2:$AH$36,6,0)</f>
        <v>93.616139240506314</v>
      </c>
      <c r="C10" s="533">
        <f>VLOOKUP($A10,연도별!$A$2:$AH$36,15,0)</f>
        <v>93.074679746949556</v>
      </c>
      <c r="D10" s="533">
        <f>VLOOKUP($A10,연도별!$A$2:$AH$36,23,0)</f>
        <v>92.754363377738287</v>
      </c>
      <c r="E10" s="533">
        <f t="shared" ref="E10:E40" si="1">B10*0.5+C10*0.3+D10*0.2</f>
        <v>93.281346219885677</v>
      </c>
      <c r="F10" s="529">
        <f>VLOOKUP($A10,'[1](창구)목표'!$A$3:$O$39,15,0)</f>
        <v>94.118750000000006</v>
      </c>
      <c r="G10" s="530">
        <f>VLOOKUP($A10,'목표(창구)'!$A$3:$AB$42,28,0)</f>
        <v>93.8</v>
      </c>
      <c r="H10" s="519">
        <f t="shared" ref="H10:H40" si="2">G10-E10</f>
        <v>0.51865378011432028</v>
      </c>
      <c r="I10" s="519">
        <f t="shared" si="0"/>
        <v>-0.31875000000000853</v>
      </c>
      <c r="K10" s="528">
        <f t="shared" ref="K10:K41" si="3">B10/G10*100</f>
        <v>99.80398639712827</v>
      </c>
    </row>
    <row r="11" spans="1:11" ht="20.100000000000001" customHeight="1">
      <c r="A11" s="229" t="s">
        <v>2</v>
      </c>
      <c r="B11" s="533">
        <f>VLOOKUP($A11,연도별!$A$2:$AH$36,6,0)</f>
        <v>93.608385093167669</v>
      </c>
      <c r="C11" s="533">
        <f>VLOOKUP($A11,연도별!$A$2:$AH$36,15,0)</f>
        <v>94.104840081659404</v>
      </c>
      <c r="D11" s="533">
        <f>VLOOKUP($A11,연도별!$A$2:$AH$36,23,0)</f>
        <v>95.08914164605271</v>
      </c>
      <c r="E11" s="533">
        <f t="shared" si="1"/>
        <v>94.053472900292206</v>
      </c>
      <c r="F11" s="529">
        <f>VLOOKUP($A11,'[1](창구)목표'!$A$3:$O$39,15,0)</f>
        <v>94.16749999999999</v>
      </c>
      <c r="G11" s="530">
        <f>VLOOKUP($A11,'목표(창구)'!$A$3:$AB$42,28,0)</f>
        <v>93.8</v>
      </c>
      <c r="H11" s="519">
        <f t="shared" si="2"/>
        <v>-0.25347290029220915</v>
      </c>
      <c r="I11" s="519">
        <f t="shared" si="0"/>
        <v>-0.36749999999999261</v>
      </c>
      <c r="K11" s="528">
        <f t="shared" si="3"/>
        <v>99.795719715530566</v>
      </c>
    </row>
    <row r="12" spans="1:11" ht="20.100000000000001" customHeight="1">
      <c r="A12" s="229" t="s">
        <v>3</v>
      </c>
      <c r="B12" s="533">
        <f>VLOOKUP($A12,연도별!$A$2:$AH$36,6,0)</f>
        <v>94.527127916331438</v>
      </c>
      <c r="C12" s="533">
        <f>VLOOKUP($A12,연도별!$A$2:$AH$36,15,0)</f>
        <v>93.960514567686417</v>
      </c>
      <c r="D12" s="533">
        <f>VLOOKUP($A12,연도별!$A$2:$AH$36,23,0)</f>
        <v>92.97791408946081</v>
      </c>
      <c r="E12" s="533">
        <f t="shared" si="1"/>
        <v>94.047301146363807</v>
      </c>
      <c r="F12" s="529">
        <f>VLOOKUP($A12,'[1](창구)목표'!$A$3:$O$39,15,0)</f>
        <v>94.2221052631579</v>
      </c>
      <c r="G12" s="530">
        <f>VLOOKUP($A12,'목표(창구)'!$A$3:$AB$42,28,0)</f>
        <v>93.8</v>
      </c>
      <c r="H12" s="519">
        <f t="shared" si="2"/>
        <v>-0.24730114636381018</v>
      </c>
      <c r="I12" s="519">
        <f t="shared" si="0"/>
        <v>-0.42210526315790275</v>
      </c>
      <c r="K12" s="527">
        <f t="shared" si="3"/>
        <v>100.77518967625953</v>
      </c>
    </row>
    <row r="13" spans="1:11" ht="20.100000000000001" customHeight="1">
      <c r="A13" s="229" t="s">
        <v>4</v>
      </c>
      <c r="B13" s="533">
        <f>VLOOKUP($A13,연도별!$A$2:$AH$36,6,0)</f>
        <v>93.620039249083604</v>
      </c>
      <c r="C13" s="533">
        <f>VLOOKUP($A13,연도별!$A$2:$AH$36,15,0)</f>
        <v>92.226064445878606</v>
      </c>
      <c r="D13" s="533">
        <f>VLOOKUP($A13,연도별!$A$2:$AH$36,23,0)</f>
        <v>91.622325781552263</v>
      </c>
      <c r="E13" s="533">
        <f t="shared" si="1"/>
        <v>92.802304114615836</v>
      </c>
      <c r="F13" s="529">
        <f>VLOOKUP($A13,'[1](창구)목표'!$A$3:$O$39,15,0)</f>
        <v>94.066666666666677</v>
      </c>
      <c r="G13" s="530">
        <f>VLOOKUP($A13,'목표(창구)'!$A$3:$AB$42,28,0)</f>
        <v>93.8</v>
      </c>
      <c r="H13" s="519">
        <f t="shared" si="2"/>
        <v>0.99769588538416087</v>
      </c>
      <c r="I13" s="519">
        <f t="shared" si="0"/>
        <v>-0.26666666666667993</v>
      </c>
      <c r="K13" s="528">
        <f t="shared" si="3"/>
        <v>99.808144188788489</v>
      </c>
    </row>
    <row r="14" spans="1:11" ht="20.100000000000001" customHeight="1">
      <c r="A14" s="229" t="s">
        <v>5</v>
      </c>
      <c r="B14" s="533">
        <f>VLOOKUP($A14,연도별!$A$2:$AH$36,6,0)</f>
        <v>93.871051611653016</v>
      </c>
      <c r="C14" s="533">
        <f>VLOOKUP($A14,연도별!$A$2:$AH$36,15,0)</f>
        <v>91.719228574818729</v>
      </c>
      <c r="D14" s="533">
        <f>VLOOKUP($A14,연도별!$A$2:$AH$36,23,0)</f>
        <v>91.604613923464953</v>
      </c>
      <c r="E14" s="533">
        <f t="shared" si="1"/>
        <v>92.77221716296512</v>
      </c>
      <c r="F14" s="529">
        <f>VLOOKUP($A14,'[1](창구)목표'!$A$3:$O$39,15,0)</f>
        <v>94.819166666666675</v>
      </c>
      <c r="G14" s="530">
        <f>VLOOKUP($A14,'목표(창구)'!$A$3:$AB$42,28,0)</f>
        <v>94.399999999999991</v>
      </c>
      <c r="H14" s="519">
        <f t="shared" si="2"/>
        <v>1.6277828370348715</v>
      </c>
      <c r="I14" s="519">
        <f t="shared" si="0"/>
        <v>-0.41916666666668334</v>
      </c>
      <c r="K14" s="528">
        <f t="shared" si="3"/>
        <v>99.439673317429055</v>
      </c>
    </row>
    <row r="15" spans="1:11" ht="20.100000000000001" customHeight="1">
      <c r="A15" s="229" t="s">
        <v>12</v>
      </c>
      <c r="B15" s="533">
        <f>VLOOKUP($A15,연도별!$A$2:$AH$36,6,0)</f>
        <v>94.777070515449836</v>
      </c>
      <c r="C15" s="533">
        <f>VLOOKUP($A15,연도별!$A$2:$AH$36,15,0)</f>
        <v>93.574372113884323</v>
      </c>
      <c r="D15" s="533">
        <f>VLOOKUP($A15,연도별!$A$2:$AH$36,23,0)</f>
        <v>93.314600257616164</v>
      </c>
      <c r="E15" s="533">
        <f t="shared" si="1"/>
        <v>94.123766943413443</v>
      </c>
      <c r="F15" s="529">
        <f>VLOOKUP($A15,'[1](창구)목표'!$A$3:$O$39,15,0)</f>
        <v>94.96</v>
      </c>
      <c r="G15" s="530">
        <f>VLOOKUP($A15,'목표(창구)'!$A$3:$AB$42,28,0)</f>
        <v>94.399999999999991</v>
      </c>
      <c r="H15" s="519">
        <f t="shared" si="2"/>
        <v>0.27623305658654829</v>
      </c>
      <c r="I15" s="519">
        <f t="shared" si="0"/>
        <v>-0.56000000000000227</v>
      </c>
      <c r="K15" s="527">
        <f t="shared" si="3"/>
        <v>100.39943910534942</v>
      </c>
    </row>
    <row r="16" spans="1:11" ht="20.100000000000001" customHeight="1">
      <c r="A16" s="229" t="s">
        <v>6</v>
      </c>
      <c r="B16" s="533">
        <f>VLOOKUP($A16,연도별!$A$2:$AH$36,6,0)</f>
        <v>95.063278063655389</v>
      </c>
      <c r="C16" s="533">
        <f>VLOOKUP($A16,연도별!$A$2:$AH$36,15,0)</f>
        <v>94.289346923439254</v>
      </c>
      <c r="D16" s="533">
        <f>VLOOKUP($A16,연도별!$A$2:$AH$36,23,0)</f>
        <v>93.665304311663249</v>
      </c>
      <c r="E16" s="533">
        <f t="shared" si="1"/>
        <v>94.551503971192119</v>
      </c>
      <c r="F16" s="529">
        <f>VLOOKUP($A16,'[1](창구)목표'!$A$3:$O$39,15,0)</f>
        <v>95.317999999999998</v>
      </c>
      <c r="G16" s="530">
        <f>VLOOKUP($A16,'목표(창구)'!$A$3:$AB$42,28,0)</f>
        <v>94.899999999999991</v>
      </c>
      <c r="H16" s="519">
        <f t="shared" si="2"/>
        <v>0.34849602880787245</v>
      </c>
      <c r="I16" s="519">
        <f t="shared" si="0"/>
        <v>-0.41800000000000637</v>
      </c>
      <c r="K16" s="527">
        <f t="shared" si="3"/>
        <v>100.17205275411527</v>
      </c>
    </row>
    <row r="17" spans="1:11" ht="20.100000000000001" customHeight="1">
      <c r="A17" s="229" t="s">
        <v>11</v>
      </c>
      <c r="B17" s="533">
        <f>VLOOKUP($A17,연도별!$A$2:$AH$36,6,0)</f>
        <v>94.860940375010955</v>
      </c>
      <c r="C17" s="533">
        <f>VLOOKUP($A17,연도별!$A$2:$AH$36,15,0)</f>
        <v>94.362489859261487</v>
      </c>
      <c r="D17" s="533">
        <f>VLOOKUP($A17,연도별!$A$2:$AH$36,23,0)</f>
        <v>94.767812197101577</v>
      </c>
      <c r="E17" s="533">
        <f t="shared" si="1"/>
        <v>94.692779584704255</v>
      </c>
      <c r="F17" s="529">
        <f>VLOOKUP($A17,'[1](창구)목표'!$A$3:$O$39,15,0)</f>
        <v>95.475789473684202</v>
      </c>
      <c r="G17" s="530">
        <f>VLOOKUP($A17,'목표(창구)'!$A$3:$AB$42,28,0)</f>
        <v>94.899999999999991</v>
      </c>
      <c r="H17" s="519">
        <f t="shared" si="2"/>
        <v>0.20722041529573687</v>
      </c>
      <c r="I17" s="519">
        <f t="shared" si="0"/>
        <v>-0.57578947368421041</v>
      </c>
      <c r="K17" s="528">
        <f t="shared" si="3"/>
        <v>99.958841280306601</v>
      </c>
    </row>
    <row r="18" spans="1:11" ht="20.100000000000001" customHeight="1">
      <c r="A18" s="229" t="s">
        <v>17</v>
      </c>
      <c r="B18" s="533">
        <f>VLOOKUP($A18,연도별!$A$2:$AH$36,6,0)</f>
        <v>94.687888888888892</v>
      </c>
      <c r="C18" s="533">
        <f>VLOOKUP($A18,연도별!$A$2:$AH$36,15,0)</f>
        <v>94.771503429444536</v>
      </c>
      <c r="D18" s="533">
        <f>VLOOKUP($A18,연도별!$A$2:$AH$36,23,0)</f>
        <v>95.033507149811271</v>
      </c>
      <c r="E18" s="533">
        <f t="shared" si="1"/>
        <v>94.782096903240074</v>
      </c>
      <c r="F18" s="529">
        <f>VLOOKUP($A18,'[1](창구)목표'!$A$3:$O$39,15,0)</f>
        <v>95.429130434782607</v>
      </c>
      <c r="G18" s="530">
        <f>VLOOKUP($A18,'목표(창구)'!$A$3:$AB$42,28,0)</f>
        <v>94.899999999999991</v>
      </c>
      <c r="H18" s="519">
        <f t="shared" si="2"/>
        <v>0.1179030967599175</v>
      </c>
      <c r="I18" s="519">
        <f t="shared" si="0"/>
        <v>-0.52913043478261557</v>
      </c>
      <c r="K18" s="528">
        <f t="shared" si="3"/>
        <v>99.776489872380296</v>
      </c>
    </row>
    <row r="19" spans="1:11" ht="20.100000000000001" customHeight="1">
      <c r="A19" s="229" t="s">
        <v>7</v>
      </c>
      <c r="B19" s="533">
        <f>VLOOKUP($A19,연도별!$A$2:$AH$36,6,0)</f>
        <v>94.161830936573921</v>
      </c>
      <c r="C19" s="533">
        <f>VLOOKUP($A19,연도별!$A$2:$AH$36,15,0)</f>
        <v>94.964810397806289</v>
      </c>
      <c r="D19" s="533">
        <f>VLOOKUP($A19,연도별!$A$2:$AH$36,23,0)</f>
        <v>94.986506128626075</v>
      </c>
      <c r="E19" s="533">
        <f t="shared" si="1"/>
        <v>94.567659813354055</v>
      </c>
      <c r="F19" s="529">
        <f>VLOOKUP($A19,'[1](창구)목표'!$A$3:$O$39,15,0)</f>
        <v>94.709523809523802</v>
      </c>
      <c r="G19" s="530">
        <f>VLOOKUP($A19,'목표(창구)'!$A$3:$AB$42,28,0)</f>
        <v>94.399999999999991</v>
      </c>
      <c r="H19" s="519">
        <f t="shared" si="2"/>
        <v>-0.16765981335406366</v>
      </c>
      <c r="I19" s="519">
        <f t="shared" si="0"/>
        <v>-0.3095238095238102</v>
      </c>
      <c r="K19" s="528">
        <f t="shared" si="3"/>
        <v>99.747702263319837</v>
      </c>
    </row>
    <row r="20" spans="1:11" ht="20.100000000000001" customHeight="1">
      <c r="A20" s="229" t="s">
        <v>8</v>
      </c>
      <c r="B20" s="533">
        <f>VLOOKUP($A20,연도별!$A$2:$AH$36,6,0)</f>
        <v>93.899840793602138</v>
      </c>
      <c r="C20" s="533">
        <f>VLOOKUP($A20,연도별!$A$2:$AH$36,15,0)</f>
        <v>93.347098357540801</v>
      </c>
      <c r="D20" s="533">
        <f>VLOOKUP($A20,연도별!$A$2:$AH$36,23,0)</f>
        <v>92.996413393974848</v>
      </c>
      <c r="E20" s="533">
        <f t="shared" si="1"/>
        <v>93.553332582858275</v>
      </c>
      <c r="F20" s="529">
        <f>VLOOKUP($A20,'[1](창구)목표'!$A$3:$O$39,15,0)</f>
        <v>94.514166666666668</v>
      </c>
      <c r="G20" s="530">
        <f>VLOOKUP($A20,'목표(창구)'!$A$3:$AB$42,28,0)</f>
        <v>94.399999999999991</v>
      </c>
      <c r="H20" s="519">
        <f t="shared" si="2"/>
        <v>0.84666741714171678</v>
      </c>
      <c r="I20" s="519">
        <f t="shared" si="0"/>
        <v>-0.11416666666667652</v>
      </c>
      <c r="K20" s="528">
        <f t="shared" si="3"/>
        <v>99.470170332205669</v>
      </c>
    </row>
    <row r="21" spans="1:11" ht="20.100000000000001" customHeight="1">
      <c r="A21" s="229" t="s">
        <v>9</v>
      </c>
      <c r="B21" s="533">
        <f>VLOOKUP($A21,연도별!$A$2:$AH$36,6,0)</f>
        <v>94.589680525504534</v>
      </c>
      <c r="C21" s="533">
        <f>VLOOKUP($A21,연도별!$A$2:$AH$36,15,0)</f>
        <v>94.489447112071517</v>
      </c>
      <c r="D21" s="533">
        <f>VLOOKUP($A21,연도별!$A$2:$AH$36,23,0)</f>
        <v>95.526501236858039</v>
      </c>
      <c r="E21" s="533">
        <f t="shared" si="1"/>
        <v>94.746974643745318</v>
      </c>
      <c r="F21" s="529">
        <f>VLOOKUP($A21,'[1](창구)목표'!$A$3:$O$39,15,0)</f>
        <v>95.311428571428564</v>
      </c>
      <c r="G21" s="530">
        <f>VLOOKUP($A21,'목표(창구)'!$A$3:$AB$42,28,0)</f>
        <v>94.899999999999991</v>
      </c>
      <c r="H21" s="519">
        <f t="shared" si="2"/>
        <v>0.15302535625467328</v>
      </c>
      <c r="I21" s="519">
        <f t="shared" si="0"/>
        <v>-0.41142857142857281</v>
      </c>
      <c r="K21" s="528">
        <f t="shared" si="3"/>
        <v>99.673003714967905</v>
      </c>
    </row>
    <row r="22" spans="1:11" ht="20.100000000000001" customHeight="1">
      <c r="A22" s="229" t="s">
        <v>10</v>
      </c>
      <c r="B22" s="533">
        <f>VLOOKUP($A22,연도별!$A$2:$AH$36,6,0)</f>
        <v>95.066668367952261</v>
      </c>
      <c r="C22" s="533">
        <f>VLOOKUP($A22,연도별!$A$2:$AH$36,15,0)</f>
        <v>94.664012928564603</v>
      </c>
      <c r="D22" s="533">
        <f>VLOOKUP($A22,연도별!$A$2:$AH$36,23,0)</f>
        <v>93.941909557741027</v>
      </c>
      <c r="E22" s="533">
        <f t="shared" si="1"/>
        <v>94.720919974093732</v>
      </c>
      <c r="F22" s="529">
        <f>VLOOKUP($A22,'[1](창구)목표'!$A$3:$O$39,15,0)</f>
        <v>94.657333333333327</v>
      </c>
      <c r="G22" s="530">
        <f>VLOOKUP($A22,'목표(창구)'!$A$3:$AB$42,28,0)</f>
        <v>94.399999999999991</v>
      </c>
      <c r="H22" s="519">
        <f t="shared" si="2"/>
        <v>-0.32091997409374073</v>
      </c>
      <c r="I22" s="519">
        <f t="shared" si="0"/>
        <v>-0.25733333333333519</v>
      </c>
      <c r="K22" s="527">
        <f t="shared" si="3"/>
        <v>100.70621649147486</v>
      </c>
    </row>
    <row r="23" spans="1:11" ht="20.100000000000001" customHeight="1">
      <c r="A23" s="229" t="s">
        <v>13</v>
      </c>
      <c r="B23" s="533">
        <f>VLOOKUP($A23,연도별!$A$2:$AH$36,6,0)</f>
        <v>94.394281045751626</v>
      </c>
      <c r="C23" s="533">
        <f>VLOOKUP($A23,연도별!$A$2:$AH$36,15,0)</f>
        <v>93.597258278782704</v>
      </c>
      <c r="D23" s="533">
        <f>VLOOKUP($A23,연도별!$A$2:$AH$36,23,0)</f>
        <v>93.794577594243364</v>
      </c>
      <c r="E23" s="533">
        <f t="shared" si="1"/>
        <v>94.035233525359303</v>
      </c>
      <c r="F23" s="529">
        <f>VLOOKUP($A23,'[1](창구)목표'!$A$3:$O$39,15,0)</f>
        <v>95.016428571428577</v>
      </c>
      <c r="G23" s="530">
        <f>VLOOKUP($A23,'목표(창구)'!$A$3:$AB$42,28,0)</f>
        <v>94.399999999999991</v>
      </c>
      <c r="H23" s="519">
        <f t="shared" si="2"/>
        <v>0.3647664746406889</v>
      </c>
      <c r="I23" s="519">
        <f t="shared" si="0"/>
        <v>-0.61642857142858531</v>
      </c>
      <c r="K23" s="528">
        <f t="shared" si="3"/>
        <v>99.993941785753847</v>
      </c>
    </row>
    <row r="24" spans="1:11" ht="20.100000000000001" customHeight="1">
      <c r="A24" s="229" t="s">
        <v>23</v>
      </c>
      <c r="B24" s="533">
        <f>VLOOKUP($A24,연도별!$A$2:$AH$36,6,0)</f>
        <v>94.725767831501628</v>
      </c>
      <c r="C24" s="533">
        <f>VLOOKUP($A24,연도별!$A$2:$AH$36,15,0)</f>
        <v>95.808518445119063</v>
      </c>
      <c r="D24" s="533">
        <f>VLOOKUP($A24,연도별!$A$2:$AH$36,23,0)</f>
        <v>94.379194185472983</v>
      </c>
      <c r="E24" s="533">
        <f t="shared" si="1"/>
        <v>94.981278286381126</v>
      </c>
      <c r="F24" s="529">
        <f>VLOOKUP($A24,'[1](창구)목표'!$A$3:$O$39,15,0)</f>
        <v>95.316000000000003</v>
      </c>
      <c r="G24" s="530">
        <f>VLOOKUP($A24,'목표(창구)'!$A$3:$AB$42,28,0)</f>
        <v>94.899999999999991</v>
      </c>
      <c r="H24" s="519">
        <f t="shared" si="2"/>
        <v>-8.127828638113499E-2</v>
      </c>
      <c r="I24" s="519">
        <f t="shared" si="0"/>
        <v>-0.41600000000001103</v>
      </c>
      <c r="K24" s="528">
        <f t="shared" si="3"/>
        <v>99.816404458905836</v>
      </c>
    </row>
    <row r="25" spans="1:11" ht="20.100000000000001" customHeight="1">
      <c r="A25" s="229" t="s">
        <v>14</v>
      </c>
      <c r="B25" s="533">
        <f>VLOOKUP($A25,연도별!$A$2:$AH$36,6,0)</f>
        <v>95.672241557102353</v>
      </c>
      <c r="C25" s="533">
        <f>VLOOKUP($A25,연도별!$A$2:$AH$36,15,0)</f>
        <v>94.880221707327522</v>
      </c>
      <c r="D25" s="533">
        <f>VLOOKUP($A25,연도별!$A$2:$AH$36,23,0)</f>
        <v>94.723515179895728</v>
      </c>
      <c r="E25" s="533">
        <f t="shared" si="1"/>
        <v>95.24489032672858</v>
      </c>
      <c r="F25" s="529">
        <f>VLOOKUP($A25,'[1](창구)목표'!$A$3:$O$39,15,0)</f>
        <v>96.023333333333341</v>
      </c>
      <c r="G25" s="530">
        <f>VLOOKUP($A25,'목표(창구)'!$A$3:$AB$42,28,0)</f>
        <v>95.6</v>
      </c>
      <c r="H25" s="519">
        <f t="shared" si="2"/>
        <v>0.35510967327141429</v>
      </c>
      <c r="I25" s="519">
        <f t="shared" si="0"/>
        <v>-0.42333333333334622</v>
      </c>
      <c r="K25" s="527">
        <f t="shared" si="3"/>
        <v>100.07556648232465</v>
      </c>
    </row>
    <row r="26" spans="1:11" ht="20.100000000000001" customHeight="1">
      <c r="A26" s="229" t="s">
        <v>15</v>
      </c>
      <c r="B26" s="533">
        <f>VLOOKUP($A26,연도별!$A$2:$AH$36,6,0)</f>
        <v>95.518005621277879</v>
      </c>
      <c r="C26" s="533">
        <f>VLOOKUP($A26,연도별!$A$2:$AH$36,15,0)</f>
        <v>94.728295335246543</v>
      </c>
      <c r="D26" s="533">
        <f>VLOOKUP($A26,연도별!$A$2:$AH$36,23,0)</f>
        <v>94.887215039018727</v>
      </c>
      <c r="E26" s="533">
        <f t="shared" si="1"/>
        <v>95.154934419016641</v>
      </c>
      <c r="F26" s="529">
        <f>VLOOKUP($A26,'[1](창구)목표'!$A$3:$O$39,15,0)</f>
        <v>95.83</v>
      </c>
      <c r="G26" s="530">
        <f>VLOOKUP($A26,'목표(창구)'!$A$3:$AB$42,28,0)</f>
        <v>95.6</v>
      </c>
      <c r="H26" s="519">
        <f t="shared" si="2"/>
        <v>0.44506558098335347</v>
      </c>
      <c r="I26" s="519">
        <f t="shared" si="0"/>
        <v>-0.23000000000000398</v>
      </c>
      <c r="K26" s="528">
        <f t="shared" si="3"/>
        <v>99.914231821420387</v>
      </c>
    </row>
    <row r="27" spans="1:11" ht="20.100000000000001" customHeight="1">
      <c r="A27" s="229" t="s">
        <v>16</v>
      </c>
      <c r="B27" s="533">
        <f>VLOOKUP($A27,연도별!$A$2:$AH$36,6,0)</f>
        <v>95.176461375310382</v>
      </c>
      <c r="C27" s="533">
        <f>VLOOKUP($A27,연도별!$A$2:$AH$36,15,0)</f>
        <v>96.720315351186713</v>
      </c>
      <c r="D27" s="533">
        <f>VLOOKUP($A27,연도별!$A$2:$AH$36,23,0)</f>
        <v>96.757187794192703</v>
      </c>
      <c r="E27" s="533">
        <f t="shared" si="1"/>
        <v>95.955762851849741</v>
      </c>
      <c r="F27" s="529">
        <f>VLOOKUP($A27,'[1](창구)목표'!$A$3:$O$39,15,0)</f>
        <v>95.931666666666658</v>
      </c>
      <c r="G27" s="530">
        <f>VLOOKUP($A27,'목표(창구)'!$A$3:$AB$42,28,0)</f>
        <v>95.6</v>
      </c>
      <c r="H27" s="519">
        <f t="shared" si="2"/>
        <v>-0.35576285184974665</v>
      </c>
      <c r="I27" s="519">
        <f t="shared" si="0"/>
        <v>-0.33166666666666345</v>
      </c>
      <c r="K27" s="528">
        <f t="shared" si="3"/>
        <v>99.556967965805839</v>
      </c>
    </row>
    <row r="28" spans="1:11" ht="20.100000000000001" customHeight="1">
      <c r="A28" s="229" t="s">
        <v>18</v>
      </c>
      <c r="B28" s="533">
        <f>VLOOKUP($A28,연도별!$A$2:$AH$36,6,0)</f>
        <v>95.7071069554747</v>
      </c>
      <c r="C28" s="533">
        <f>VLOOKUP($A28,연도별!$A$2:$AH$36,15,0)</f>
        <v>95.297778580211641</v>
      </c>
      <c r="D28" s="533">
        <f>VLOOKUP($A28,연도별!$A$2:$AH$36,23,0)</f>
        <v>95.629443947935783</v>
      </c>
      <c r="E28" s="533">
        <f t="shared" si="1"/>
        <v>95.568775841388003</v>
      </c>
      <c r="F28" s="529">
        <f>VLOOKUP($A28,'[1](창구)목표'!$A$3:$O$39,15,0)</f>
        <v>95.88066666666667</v>
      </c>
      <c r="G28" s="530">
        <f>VLOOKUP($A28,'목표(창구)'!$A$3:$AB$42,28,0)</f>
        <v>95.6</v>
      </c>
      <c r="H28" s="519">
        <f t="shared" si="2"/>
        <v>3.1224158611991015E-2</v>
      </c>
      <c r="I28" s="519">
        <f t="shared" si="0"/>
        <v>-0.28066666666667572</v>
      </c>
      <c r="K28" s="527">
        <f t="shared" si="3"/>
        <v>100.11203656430408</v>
      </c>
    </row>
    <row r="29" spans="1:11" ht="20.100000000000001" customHeight="1">
      <c r="A29" s="229" t="s">
        <v>19</v>
      </c>
      <c r="B29" s="533">
        <f>VLOOKUP($A29,연도별!$A$2:$AH$36,6,0)</f>
        <v>94.46331400671346</v>
      </c>
      <c r="C29" s="533">
        <f>VLOOKUP($A29,연도별!$A$2:$AH$36,15,0)</f>
        <v>93.536161492492297</v>
      </c>
      <c r="D29" s="533">
        <f>VLOOKUP($A29,연도별!$A$2:$AH$36,23,0)</f>
        <v>93.537257986268074</v>
      </c>
      <c r="E29" s="533">
        <f t="shared" si="1"/>
        <v>93.999957048358027</v>
      </c>
      <c r="F29" s="529">
        <f>VLOOKUP($A29,'[1](창구)목표'!$A$3:$O$39,15,0)</f>
        <v>95.694666666666677</v>
      </c>
      <c r="G29" s="530">
        <f>VLOOKUP($A29,'목표(창구)'!$A$3:$AB$42,28,0)</f>
        <v>94.899999999999991</v>
      </c>
      <c r="H29" s="519">
        <f t="shared" si="2"/>
        <v>0.90004295164196435</v>
      </c>
      <c r="I29" s="519">
        <f t="shared" si="0"/>
        <v>-0.79466666666668573</v>
      </c>
      <c r="K29" s="528">
        <f t="shared" si="3"/>
        <v>99.539846160920405</v>
      </c>
    </row>
    <row r="30" spans="1:11" ht="20.100000000000001" customHeight="1">
      <c r="A30" s="229" t="s">
        <v>20</v>
      </c>
      <c r="B30" s="533">
        <f>VLOOKUP($A30,연도별!$A$2:$AH$36,6,0)</f>
        <v>96.961403508771923</v>
      </c>
      <c r="C30" s="533">
        <f>VLOOKUP($A30,연도별!$A$2:$AH$36,15,0)</f>
        <v>96.363114487929664</v>
      </c>
      <c r="D30" s="533">
        <f>VLOOKUP($A30,연도별!$A$2:$AH$36,23,0)</f>
        <v>96.891148667084011</v>
      </c>
      <c r="E30" s="533">
        <f t="shared" si="1"/>
        <v>96.767865834181663</v>
      </c>
      <c r="F30" s="529">
        <f>VLOOKUP($A30,'[1](창구)목표'!$A$3:$O$39,15,0)</f>
        <v>96.08</v>
      </c>
      <c r="G30" s="530">
        <f>VLOOKUP($A30,'목표(창구)'!$A$3:$AB$42,28,0)</f>
        <v>95.6</v>
      </c>
      <c r="H30" s="519">
        <f t="shared" si="2"/>
        <v>-1.1678658341816686</v>
      </c>
      <c r="I30" s="519">
        <f t="shared" si="0"/>
        <v>-0.48000000000000398</v>
      </c>
      <c r="K30" s="527">
        <f t="shared" si="3"/>
        <v>101.42406224766938</v>
      </c>
    </row>
    <row r="31" spans="1:11" ht="20.100000000000001" customHeight="1">
      <c r="A31" s="229" t="s">
        <v>21</v>
      </c>
      <c r="B31" s="533">
        <f>VLOOKUP($A31,연도별!$A$2:$AH$36,6,0)</f>
        <v>97.115855457227127</v>
      </c>
      <c r="C31" s="533">
        <f>VLOOKUP($A31,연도별!$A$2:$AH$36,15,0)</f>
        <v>96.82394698070965</v>
      </c>
      <c r="D31" s="533">
        <f>VLOOKUP($A31,연도별!$A$2:$AH$36,23,0)</f>
        <v>95.602115522621645</v>
      </c>
      <c r="E31" s="533">
        <f t="shared" si="1"/>
        <v>96.725534927350793</v>
      </c>
      <c r="F31" s="529">
        <f>VLOOKUP($A31,'[1](창구)목표'!$A$3:$O$39,15,0)</f>
        <v>95.881764705882347</v>
      </c>
      <c r="G31" s="530">
        <f>VLOOKUP($A31,'목표(창구)'!$A$3:$AB$42,28,0)</f>
        <v>95.6</v>
      </c>
      <c r="H31" s="519">
        <f t="shared" si="2"/>
        <v>-1.1255349273507989</v>
      </c>
      <c r="I31" s="519">
        <f t="shared" si="0"/>
        <v>-0.28176470588235247</v>
      </c>
      <c r="K31" s="527">
        <f t="shared" si="3"/>
        <v>101.58562286320829</v>
      </c>
    </row>
    <row r="32" spans="1:11" ht="20.100000000000001" customHeight="1">
      <c r="A32" s="229" t="s">
        <v>22</v>
      </c>
      <c r="B32" s="533">
        <f>VLOOKUP($A32,연도별!$A$2:$AH$36,6,0)</f>
        <v>96.426774193548383</v>
      </c>
      <c r="C32" s="533">
        <f>VLOOKUP($A32,연도별!$A$2:$AH$36,15,0)</f>
        <v>96.751774470536446</v>
      </c>
      <c r="D32" s="533">
        <f>VLOOKUP($A32,연도별!$A$2:$AH$36,23,0)</f>
        <v>94.966568794542894</v>
      </c>
      <c r="E32" s="533">
        <f t="shared" si="1"/>
        <v>96.232233196843708</v>
      </c>
      <c r="F32" s="529">
        <f>VLOOKUP($A32,'[1](창구)목표'!$A$3:$O$39,15,0)</f>
        <v>95.271333333333331</v>
      </c>
      <c r="G32" s="530">
        <f>VLOOKUP($A32,'목표(창구)'!$A$3:$AB$42,28,0)</f>
        <v>94.899999999999991</v>
      </c>
      <c r="H32" s="519">
        <f t="shared" si="2"/>
        <v>-1.3322331968437169</v>
      </c>
      <c r="I32" s="519">
        <f t="shared" si="0"/>
        <v>-0.37133333333333951</v>
      </c>
      <c r="K32" s="527">
        <f t="shared" si="3"/>
        <v>101.6088242292396</v>
      </c>
    </row>
    <row r="33" spans="1:11" ht="20.100000000000001" customHeight="1">
      <c r="A33" s="229" t="s">
        <v>24</v>
      </c>
      <c r="B33" s="533">
        <f>VLOOKUP($A33,연도별!$A$2:$AH$36,6,0)</f>
        <v>95.548278787597042</v>
      </c>
      <c r="C33" s="533">
        <f>VLOOKUP($A33,연도별!$A$2:$AH$36,15,0)</f>
        <v>96.246553996261412</v>
      </c>
      <c r="D33" s="533">
        <f>VLOOKUP($A33,연도별!$A$2:$AH$36,23,0)</f>
        <v>96.110944034318678</v>
      </c>
      <c r="E33" s="533">
        <f t="shared" si="1"/>
        <v>95.870294399540683</v>
      </c>
      <c r="F33" s="529">
        <f>VLOOKUP($A33,'[1](창구)목표'!$A$3:$O$39,15,0)</f>
        <v>95.77</v>
      </c>
      <c r="G33" s="530">
        <f>VLOOKUP($A33,'목표(창구)'!$A$3:$AB$42,28,0)</f>
        <v>95.6</v>
      </c>
      <c r="H33" s="519">
        <f t="shared" si="2"/>
        <v>-0.27029439954068835</v>
      </c>
      <c r="I33" s="519">
        <f t="shared" si="0"/>
        <v>-0.17000000000000171</v>
      </c>
      <c r="K33" s="528">
        <f t="shared" si="3"/>
        <v>99.945898313386024</v>
      </c>
    </row>
    <row r="34" spans="1:11" ht="20.100000000000001" customHeight="1">
      <c r="A34" s="229" t="s">
        <v>25</v>
      </c>
      <c r="B34" s="533">
        <f>VLOOKUP($A34,연도별!$A$2:$AH$36,6,0)</f>
        <v>96.831818181818178</v>
      </c>
      <c r="C34" s="533">
        <f>VLOOKUP($A34,연도별!$A$2:$AH$36,15,0)</f>
        <v>94.517934261365511</v>
      </c>
      <c r="D34" s="533">
        <f>VLOOKUP($A34,연도별!$A$2:$AH$36,23,0)</f>
        <v>96.088316322582841</v>
      </c>
      <c r="E34" s="533">
        <f t="shared" si="1"/>
        <v>95.988952633835311</v>
      </c>
      <c r="F34" s="529">
        <f>VLOOKUP($A34,'[1](창구)목표'!$A$3:$O$39,15,0)</f>
        <v>95.452857142857141</v>
      </c>
      <c r="G34" s="530">
        <f>VLOOKUP($A34,'목표(창구)'!$A$3:$AB$42,28,0)</f>
        <v>95.6</v>
      </c>
      <c r="H34" s="519">
        <f t="shared" si="2"/>
        <v>-0.38895263383531642</v>
      </c>
      <c r="I34" s="519">
        <f t="shared" si="0"/>
        <v>0.14714285714285325</v>
      </c>
      <c r="K34" s="527">
        <f t="shared" si="3"/>
        <v>101.28851274248764</v>
      </c>
    </row>
    <row r="35" spans="1:11" ht="20.100000000000001" customHeight="1">
      <c r="A35" s="229" t="s">
        <v>26</v>
      </c>
      <c r="B35" s="533">
        <f>VLOOKUP($A35,연도별!$A$2:$AH$36,6,0)</f>
        <v>96.80257352941176</v>
      </c>
      <c r="C35" s="533">
        <f>VLOOKUP($A35,연도별!$A$2:$AH$36,15,0)</f>
        <v>94.708506707832072</v>
      </c>
      <c r="D35" s="533">
        <f>VLOOKUP($A35,연도별!$A$2:$AH$36,23,0)</f>
        <v>95.52216750426814</v>
      </c>
      <c r="E35" s="533">
        <f t="shared" si="1"/>
        <v>95.918272277909139</v>
      </c>
      <c r="F35" s="529">
        <f>VLOOKUP($A35,'[1](창구)목표'!$A$3:$O$39,15,0)</f>
        <v>95.983846153846144</v>
      </c>
      <c r="G35" s="530">
        <f>VLOOKUP($A35,'목표(창구)'!$A$3:$AB$42,28,0)</f>
        <v>95.6</v>
      </c>
      <c r="H35" s="519">
        <f t="shared" si="2"/>
        <v>-0.31827227790914492</v>
      </c>
      <c r="I35" s="519">
        <f t="shared" si="0"/>
        <v>-0.38384615384615017</v>
      </c>
      <c r="K35" s="527">
        <f t="shared" si="3"/>
        <v>101.25792210189515</v>
      </c>
    </row>
    <row r="36" spans="1:11" ht="20.100000000000001" customHeight="1">
      <c r="A36" s="229" t="s">
        <v>27</v>
      </c>
      <c r="B36" s="533">
        <f>VLOOKUP($A36,연도별!$A$2:$AH$36,6,0)</f>
        <v>95.240934065934056</v>
      </c>
      <c r="C36" s="533">
        <f>VLOOKUP($A36,연도별!$A$2:$AH$36,15,0)</f>
        <v>93.773236961748836</v>
      </c>
      <c r="D36" s="533">
        <f>VLOOKUP($A36,연도별!$A$2:$AH$36,23,0)</f>
        <v>94.744264451351356</v>
      </c>
      <c r="E36" s="533">
        <f t="shared" si="1"/>
        <v>94.701291011761953</v>
      </c>
      <c r="F36" s="529">
        <f>VLOOKUP($A36,'[1](창구)목표'!$A$3:$O$39,15,0)</f>
        <v>95.649999999999991</v>
      </c>
      <c r="G36" s="530">
        <f>VLOOKUP($A36,'목표(창구)'!$A$3:$AB$42,28,0)</f>
        <v>95.6</v>
      </c>
      <c r="H36" s="519">
        <f t="shared" si="2"/>
        <v>0.89870898823804168</v>
      </c>
      <c r="I36" s="519">
        <f t="shared" si="0"/>
        <v>-4.9999999999997158E-2</v>
      </c>
      <c r="K36" s="528">
        <f t="shared" si="3"/>
        <v>99.624408018759482</v>
      </c>
    </row>
    <row r="37" spans="1:11" ht="20.100000000000001" customHeight="1">
      <c r="A37" s="229" t="s">
        <v>28</v>
      </c>
      <c r="B37" s="533">
        <f>VLOOKUP($A37,연도별!$A$2:$AH$36,6,0)</f>
        <v>96.330502702219832</v>
      </c>
      <c r="C37" s="533">
        <f>VLOOKUP($A37,연도별!$A$2:$AH$36,15,0)</f>
        <v>94.027654936396871</v>
      </c>
      <c r="D37" s="533">
        <f>VLOOKUP($A37,연도별!$A$2:$AH$36,23,0)</f>
        <v>94.690154463126007</v>
      </c>
      <c r="E37" s="533">
        <f t="shared" si="1"/>
        <v>95.311578724654183</v>
      </c>
      <c r="F37" s="529">
        <f>VLOOKUP($A37,'[1](창구)목표'!$A$3:$O$39,15,0)</f>
        <v>95.947499999999991</v>
      </c>
      <c r="G37" s="530">
        <f>VLOOKUP($A37,'목표(창구)'!$A$3:$AB$42,28,0)</f>
        <v>95.6</v>
      </c>
      <c r="H37" s="519">
        <f t="shared" si="2"/>
        <v>0.28842127534581152</v>
      </c>
      <c r="I37" s="519">
        <f t="shared" si="0"/>
        <v>-0.34749999999999659</v>
      </c>
      <c r="K37" s="527">
        <f t="shared" si="3"/>
        <v>100.76412416550191</v>
      </c>
    </row>
    <row r="38" spans="1:11" ht="20.100000000000001" customHeight="1">
      <c r="A38" s="229" t="s">
        <v>29</v>
      </c>
      <c r="B38" s="533">
        <f>VLOOKUP($A38,연도별!$A$2:$AH$36,6,0)</f>
        <v>96.363200370808983</v>
      </c>
      <c r="C38" s="533">
        <f>VLOOKUP($A38,연도별!$A$2:$AH$36,15,0)</f>
        <v>95.884930002447561</v>
      </c>
      <c r="D38" s="533">
        <f>VLOOKUP($A38,연도별!$A$2:$AH$36,23,0)</f>
        <v>94.404882933888857</v>
      </c>
      <c r="E38" s="533">
        <f t="shared" si="1"/>
        <v>95.828055772916528</v>
      </c>
      <c r="F38" s="529">
        <f>VLOOKUP($A38,'[1](창구)목표'!$A$3:$O$39,15,0)</f>
        <v>95.865555555555545</v>
      </c>
      <c r="G38" s="530">
        <f>VLOOKUP($A38,'목표(창구)'!$A$3:$AB$42,28,0)</f>
        <v>95.6</v>
      </c>
      <c r="H38" s="519">
        <f t="shared" si="2"/>
        <v>-0.22805577291653378</v>
      </c>
      <c r="I38" s="519">
        <f t="shared" si="0"/>
        <v>-0.26555555555555088</v>
      </c>
      <c r="K38" s="527">
        <f t="shared" si="3"/>
        <v>100.79832674770815</v>
      </c>
    </row>
    <row r="39" spans="1:11" ht="20.100000000000001" customHeight="1">
      <c r="A39" s="229" t="s">
        <v>30</v>
      </c>
      <c r="B39" s="533">
        <f>VLOOKUP($A39,연도별!$A$2:$AH$36,6,0)</f>
        <v>96.153996376313017</v>
      </c>
      <c r="C39" s="533">
        <f>VLOOKUP($A39,연도별!$A$2:$AH$36,15,0)</f>
        <v>96.739965929546983</v>
      </c>
      <c r="D39" s="533">
        <f>VLOOKUP($A39,연도별!$A$2:$AH$36,23,0)</f>
        <v>95.889469137076517</v>
      </c>
      <c r="E39" s="533">
        <f t="shared" si="1"/>
        <v>96.276881794435909</v>
      </c>
      <c r="F39" s="529">
        <f>VLOOKUP($A39,'[1](창구)목표'!$A$3:$O$39,15,0)</f>
        <v>95.625714285714281</v>
      </c>
      <c r="G39" s="530">
        <f>VLOOKUP($A39,'목표(창구)'!$A$3:$AB$42,28,0)</f>
        <v>95.6</v>
      </c>
      <c r="H39" s="519">
        <f t="shared" si="2"/>
        <v>-0.67688179443591423</v>
      </c>
      <c r="I39" s="519">
        <f t="shared" si="0"/>
        <v>-2.5714285714286689E-2</v>
      </c>
      <c r="K39" s="527">
        <f t="shared" si="3"/>
        <v>100.57949411748224</v>
      </c>
    </row>
    <row r="40" spans="1:11" ht="20.100000000000001" customHeight="1">
      <c r="A40" s="229" t="s">
        <v>31</v>
      </c>
      <c r="B40" s="533">
        <f>VLOOKUP($A40,연도별!$A$2:$AH$36,6,0)</f>
        <v>96.146259431069794</v>
      </c>
      <c r="C40" s="533">
        <f>VLOOKUP($A40,연도별!$A$2:$AH$36,15,0)</f>
        <v>97.173720221794696</v>
      </c>
      <c r="D40" s="533">
        <f>VLOOKUP($A40,연도별!$A$2:$AH$36,23,0)</f>
        <v>97.19799006158712</v>
      </c>
      <c r="E40" s="533">
        <f t="shared" si="1"/>
        <v>96.66484379439072</v>
      </c>
      <c r="F40" s="529">
        <f>VLOOKUP($A40,'[1](창구)목표'!$A$3:$O$39,15,0)</f>
        <v>96.021111111111111</v>
      </c>
      <c r="G40" s="530">
        <f>VLOOKUP($A40,'목표(창구)'!$A$3:$AB$42,28,0)</f>
        <v>95.6</v>
      </c>
      <c r="H40" s="519">
        <f t="shared" si="2"/>
        <v>-1.0648437943907254</v>
      </c>
      <c r="I40" s="519">
        <f t="shared" si="0"/>
        <v>-0.42111111111111654</v>
      </c>
      <c r="K40" s="527">
        <f t="shared" si="3"/>
        <v>100.57140107852489</v>
      </c>
    </row>
    <row r="41" spans="1:11" ht="20.100000000000001" customHeight="1" thickBot="1">
      <c r="A41" s="230" t="s">
        <v>313</v>
      </c>
      <c r="B41" s="534">
        <f>AVERAGE(B9:B40)</f>
        <v>95.210871211900468</v>
      </c>
      <c r="C41" s="534">
        <f t="shared" ref="C41:E41" si="4">AVERAGE(C9:C40)</f>
        <v>94.677661413890888</v>
      </c>
      <c r="D41" s="534">
        <f t="shared" si="4"/>
        <v>94.63627188132854</v>
      </c>
      <c r="E41" s="534">
        <f t="shared" si="4"/>
        <v>94.935988406383245</v>
      </c>
      <c r="F41" s="531">
        <f>AVERAGE(F9:F40)</f>
        <v>95.289437658717901</v>
      </c>
      <c r="G41" s="532">
        <f t="shared" ref="G41:H41" si="5">AVERAGE(G9:G40)</f>
        <v>94.940624999999983</v>
      </c>
      <c r="H41" s="520">
        <f t="shared" si="5"/>
        <v>4.6365936167673816E-3</v>
      </c>
      <c r="I41" s="520">
        <f>AVERAGE(I9:I40)</f>
        <v>-0.34881265871788791</v>
      </c>
      <c r="K41" s="527">
        <f t="shared" si="3"/>
        <v>100.28464760148827</v>
      </c>
    </row>
    <row r="43" spans="1:11" ht="20.100000000000001" customHeight="1">
      <c r="A43" s="495" t="s">
        <v>333</v>
      </c>
      <c r="B43" s="265"/>
      <c r="C43" s="265"/>
      <c r="D43" s="221"/>
      <c r="F43" s="215"/>
      <c r="G43" s="215"/>
      <c r="H43" s="215"/>
    </row>
    <row r="44" spans="1:11" ht="20.100000000000001" customHeight="1">
      <c r="A44" s="261" t="s">
        <v>332</v>
      </c>
      <c r="B44" s="521" t="s">
        <v>438</v>
      </c>
      <c r="C44" s="521" t="s">
        <v>441</v>
      </c>
      <c r="F44" s="215"/>
      <c r="G44" s="215"/>
      <c r="H44" s="215"/>
    </row>
    <row r="45" spans="1:11" ht="20.100000000000001" customHeight="1">
      <c r="A45" s="217" t="s">
        <v>330</v>
      </c>
      <c r="B45" s="513">
        <f>STDEV(E9:E24)</f>
        <v>0.69519694787297359</v>
      </c>
      <c r="C45" s="264">
        <f>STDEV(G9:G24)</f>
        <v>0.44976845894312084</v>
      </c>
      <c r="F45" s="215"/>
      <c r="G45" s="215"/>
      <c r="H45" s="215"/>
    </row>
    <row r="46" spans="1:11" ht="20.100000000000001" customHeight="1">
      <c r="A46" s="217" t="s">
        <v>331</v>
      </c>
      <c r="B46" s="513">
        <f>STDEV(E25:E40)</f>
        <v>0.75175807291629737</v>
      </c>
      <c r="C46" s="264">
        <f>STDEV(G25:G40)</f>
        <v>0.23909551787239158</v>
      </c>
      <c r="F46" s="215"/>
      <c r="G46" s="215"/>
      <c r="H46" s="215"/>
    </row>
  </sheetData>
  <mergeCells count="10">
    <mergeCell ref="K7:K8"/>
    <mergeCell ref="A1:I1"/>
    <mergeCell ref="H7:I7"/>
    <mergeCell ref="G7:G8"/>
    <mergeCell ref="A7:A8"/>
    <mergeCell ref="B7:B8"/>
    <mergeCell ref="C7:C8"/>
    <mergeCell ref="D7:D8"/>
    <mergeCell ref="E7:E8"/>
    <mergeCell ref="F7:F8"/>
  </mergeCells>
  <phoneticPr fontId="2" type="noConversion"/>
  <conditionalFormatting sqref="K9:K41">
    <cfRule type="cellIs" dxfId="1" priority="1" operator="lessThan">
      <formula>100</formula>
    </cfRule>
  </conditionalFormatting>
  <pageMargins left="0.70866141732283472" right="0.70866141732283472" top="0.74803149606299213" bottom="0.47244094488188981" header="0.31496062992125984" footer="0.31496062992125984"/>
  <pageSetup paperSize="9" scale="7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2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L1"/>
    </sheetView>
  </sheetViews>
  <sheetFormatPr defaultRowHeight="24.95" customHeight="1"/>
  <cols>
    <col min="1" max="1" width="14.5" style="453" customWidth="1"/>
    <col min="2" max="2" width="7.5" style="463" bestFit="1" customWidth="1"/>
    <col min="3" max="3" width="9" style="453"/>
    <col min="4" max="6" width="9.875" style="453" bestFit="1" customWidth="1"/>
    <col min="7" max="7" width="11.625" style="453" customWidth="1"/>
    <col min="8" max="8" width="10.625" style="453" customWidth="1"/>
    <col min="9" max="9" width="9.625" style="453" customWidth="1"/>
    <col min="10" max="10" width="11.75" style="453" bestFit="1" customWidth="1"/>
    <col min="11" max="11" width="14.125" style="453" bestFit="1" customWidth="1"/>
    <col min="12" max="12" width="11.875" style="453" bestFit="1" customWidth="1"/>
    <col min="13" max="13" width="3.5" style="215" customWidth="1"/>
    <col min="14" max="16384" width="9" style="215"/>
  </cols>
  <sheetData>
    <row r="1" spans="1:14" ht="35.1" customHeight="1">
      <c r="A1" s="547" t="s">
        <v>446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</row>
    <row r="2" spans="1:14" ht="36" customHeight="1" thickBot="1">
      <c r="A2" s="228" t="s">
        <v>311</v>
      </c>
      <c r="B2" s="228"/>
    </row>
    <row r="3" spans="1:14" ht="24.95" customHeight="1" thickTop="1">
      <c r="A3" s="647" t="s">
        <v>299</v>
      </c>
      <c r="B3" s="649" t="s">
        <v>405</v>
      </c>
      <c r="C3" s="649" t="s">
        <v>300</v>
      </c>
      <c r="D3" s="454" t="s">
        <v>296</v>
      </c>
      <c r="E3" s="454" t="s">
        <v>295</v>
      </c>
      <c r="F3" s="454" t="s">
        <v>294</v>
      </c>
      <c r="G3" s="218" t="s">
        <v>429</v>
      </c>
      <c r="H3" s="222" t="s">
        <v>403</v>
      </c>
      <c r="I3" s="522" t="s">
        <v>430</v>
      </c>
      <c r="J3" s="224" t="s">
        <v>306</v>
      </c>
      <c r="K3" s="454" t="s">
        <v>309</v>
      </c>
      <c r="L3" s="454" t="s">
        <v>308</v>
      </c>
    </row>
    <row r="4" spans="1:14" ht="24.95" customHeight="1">
      <c r="A4" s="648"/>
      <c r="B4" s="650"/>
      <c r="C4" s="650"/>
      <c r="D4" s="219" t="s">
        <v>302</v>
      </c>
      <c r="E4" s="219" t="s">
        <v>303</v>
      </c>
      <c r="F4" s="219" t="s">
        <v>304</v>
      </c>
      <c r="G4" s="220" t="s">
        <v>411</v>
      </c>
      <c r="H4" s="223" t="s">
        <v>307</v>
      </c>
      <c r="I4" s="523" t="s">
        <v>379</v>
      </c>
      <c r="J4" s="225" t="s">
        <v>307</v>
      </c>
      <c r="K4" s="219" t="s">
        <v>305</v>
      </c>
      <c r="L4" s="219" t="s">
        <v>301</v>
      </c>
    </row>
    <row r="5" spans="1:14" ht="24.95" customHeight="1">
      <c r="A5" s="246" t="s">
        <v>5</v>
      </c>
      <c r="B5" s="246" t="s">
        <v>406</v>
      </c>
      <c r="C5" s="465" t="s">
        <v>334</v>
      </c>
      <c r="D5" s="236">
        <f>VLOOKUP($A5,[1]연도별!$A$2:$AA$35,10,0)</f>
        <v>95.489709596750615</v>
      </c>
      <c r="E5" s="236">
        <f>VLOOKUP($A5,[1]연도별!$A$2:$AA$35,19,0)</f>
        <v>93.981834481428578</v>
      </c>
      <c r="F5" s="236">
        <f>VLOOKUP($A5,[1]연도별!$A$2:$AA$35,27,0)</f>
        <v>92.971838893763334</v>
      </c>
      <c r="G5" s="236">
        <f t="shared" ref="G5:G36" si="0">D5*0.5+E5*0.3+F5*0.2</f>
        <v>94.533772921556547</v>
      </c>
      <c r="H5" s="470">
        <f>VLOOKUP($A5,[5]관서별배달부하량분석!$B$2:$I$38,8,0)</f>
        <v>127.56489493201484</v>
      </c>
      <c r="I5" s="524">
        <f t="shared" ref="I5:I15" si="1">ROUNDUP(AVERAGE($G$5:$G$15),1)</f>
        <v>94.8</v>
      </c>
      <c r="J5" s="237">
        <f>D5/I5*100</f>
        <v>100.72754176872427</v>
      </c>
      <c r="K5" s="238">
        <f t="shared" ref="K5:K37" si="2">I5-D5</f>
        <v>-0.68970959675061749</v>
      </c>
      <c r="L5" s="238">
        <f>I5-G5</f>
        <v>0.26622707844344973</v>
      </c>
    </row>
    <row r="6" spans="1:14" ht="24.95" customHeight="1">
      <c r="A6" s="450" t="s">
        <v>2</v>
      </c>
      <c r="B6" s="246" t="s">
        <v>406</v>
      </c>
      <c r="C6" s="465" t="s">
        <v>334</v>
      </c>
      <c r="D6" s="236">
        <f>VLOOKUP($A6,[1]연도별!$A$2:$AA$35,10,0)</f>
        <v>93.653251263620874</v>
      </c>
      <c r="E6" s="236">
        <f>VLOOKUP($A6,[1]연도별!$A$2:$AA$35,19,0)</f>
        <v>92.563075047416191</v>
      </c>
      <c r="F6" s="236">
        <f>VLOOKUP($A6,[1]연도별!$A$2:$AA$35,27,0)</f>
        <v>95.378523847095295</v>
      </c>
      <c r="G6" s="236">
        <f t="shared" si="0"/>
        <v>93.67125291545436</v>
      </c>
      <c r="H6" s="470">
        <f>VLOOKUP($A6,[5]관서별배달부하량분석!$B$2:$I$38,8,0)</f>
        <v>121.67300380228137</v>
      </c>
      <c r="I6" s="524">
        <f t="shared" si="1"/>
        <v>94.8</v>
      </c>
      <c r="J6" s="421">
        <f t="shared" ref="J6:J37" si="3">D6/I6*100</f>
        <v>98.790349434199229</v>
      </c>
      <c r="K6" s="238">
        <f t="shared" si="2"/>
        <v>1.1467487363791236</v>
      </c>
      <c r="L6" s="238">
        <f t="shared" ref="L6:L36" si="4">I6-G6</f>
        <v>1.1287470845456369</v>
      </c>
    </row>
    <row r="7" spans="1:14" ht="24.95" customHeight="1">
      <c r="A7" s="246" t="s">
        <v>11</v>
      </c>
      <c r="B7" s="246" t="s">
        <v>406</v>
      </c>
      <c r="C7" s="465" t="s">
        <v>334</v>
      </c>
      <c r="D7" s="236">
        <f>VLOOKUP($A7,[1]연도별!$A$2:$AA$35,10,0)</f>
        <v>97.485006313507881</v>
      </c>
      <c r="E7" s="236">
        <f>VLOOKUP($A7,[1]연도별!$A$2:$AA$35,19,0)</f>
        <v>93.268718484303335</v>
      </c>
      <c r="F7" s="236">
        <f>VLOOKUP($A7,[1]연도별!$A$2:$AA$35,27,0)</f>
        <v>94.136182816910676</v>
      </c>
      <c r="G7" s="236">
        <f t="shared" si="0"/>
        <v>95.550355265427072</v>
      </c>
      <c r="H7" s="470">
        <f>VLOOKUP($A7,[5]관서별배달부하량분석!$B$2:$I$38,8,0)</f>
        <v>119.73827699018538</v>
      </c>
      <c r="I7" s="524">
        <f t="shared" si="1"/>
        <v>94.8</v>
      </c>
      <c r="J7" s="237">
        <f t="shared" si="3"/>
        <v>102.83228514083109</v>
      </c>
      <c r="K7" s="238">
        <f t="shared" si="2"/>
        <v>-2.6850063135078841</v>
      </c>
      <c r="L7" s="238">
        <f t="shared" si="4"/>
        <v>-0.75035526542707487</v>
      </c>
      <c r="N7" s="215">
        <f>RANK(D7,$D$5:$D$20)</f>
        <v>1</v>
      </c>
    </row>
    <row r="8" spans="1:14" ht="24.95" customHeight="1">
      <c r="A8" s="450" t="s">
        <v>8</v>
      </c>
      <c r="B8" s="246" t="s">
        <v>406</v>
      </c>
      <c r="C8" s="465" t="s">
        <v>334</v>
      </c>
      <c r="D8" s="236">
        <f>VLOOKUP($A8,[1]연도별!$A$2:$AA$35,10,0)</f>
        <v>94.688289142409715</v>
      </c>
      <c r="E8" s="236">
        <f>VLOOKUP($A8,[1]연도별!$A$2:$AA$35,19,0)</f>
        <v>94.500078678649885</v>
      </c>
      <c r="F8" s="236">
        <f>VLOOKUP($A8,[1]연도별!$A$2:$AA$35,27,0)</f>
        <v>93.333537974151753</v>
      </c>
      <c r="G8" s="236">
        <f t="shared" si="0"/>
        <v>94.360875769630184</v>
      </c>
      <c r="H8" s="470">
        <f>VLOOKUP($A8,[5]관서별배달부하량분석!$B$2:$I$38,8,0)</f>
        <v>116.11635220125784</v>
      </c>
      <c r="I8" s="524">
        <f t="shared" si="1"/>
        <v>94.8</v>
      </c>
      <c r="J8" s="421">
        <f t="shared" si="3"/>
        <v>99.882161542626278</v>
      </c>
      <c r="K8" s="238">
        <f t="shared" si="2"/>
        <v>0.11171085759028188</v>
      </c>
      <c r="L8" s="238">
        <f t="shared" si="4"/>
        <v>0.43912423036981352</v>
      </c>
    </row>
    <row r="9" spans="1:14" ht="24.95" customHeight="1">
      <c r="A9" s="246" t="s">
        <v>12</v>
      </c>
      <c r="B9" s="246" t="s">
        <v>406</v>
      </c>
      <c r="C9" s="465" t="s">
        <v>334</v>
      </c>
      <c r="D9" s="236">
        <f>VLOOKUP($A9,[1]연도별!$A$2:$AA$35,10,0)</f>
        <v>95.731976011194419</v>
      </c>
      <c r="E9" s="236">
        <f>VLOOKUP($A9,[1]연도별!$A$2:$AA$35,19,0)</f>
        <v>92.050017940922601</v>
      </c>
      <c r="F9" s="236">
        <f>VLOOKUP($A9,[1]연도별!$A$2:$AA$35,27,0)</f>
        <v>95.723116949059843</v>
      </c>
      <c r="G9" s="236">
        <f t="shared" si="0"/>
        <v>94.625616777685963</v>
      </c>
      <c r="H9" s="470">
        <f>VLOOKUP($A9,[5]관서별배달부하량분석!$B$2:$I$38,8,0)</f>
        <v>114.62450592885374</v>
      </c>
      <c r="I9" s="524">
        <f t="shared" si="1"/>
        <v>94.8</v>
      </c>
      <c r="J9" s="237">
        <f t="shared" si="3"/>
        <v>100.98309705822197</v>
      </c>
      <c r="K9" s="238">
        <f t="shared" si="2"/>
        <v>-0.93197601119442197</v>
      </c>
      <c r="L9" s="238">
        <f t="shared" si="4"/>
        <v>0.17438322231403447</v>
      </c>
    </row>
    <row r="10" spans="1:14" ht="24.95" customHeight="1">
      <c r="A10" s="246" t="s">
        <v>13</v>
      </c>
      <c r="B10" s="246" t="s">
        <v>406</v>
      </c>
      <c r="C10" s="465" t="s">
        <v>310</v>
      </c>
      <c r="D10" s="236">
        <f>VLOOKUP($A10,[1]연도별!$A$2:$AA$35,10,0)</f>
        <v>96.291959064646193</v>
      </c>
      <c r="E10" s="236">
        <f>VLOOKUP($A10,[1]연도별!$A$2:$AA$35,19,0)</f>
        <v>94.128622005218006</v>
      </c>
      <c r="F10" s="236">
        <f>VLOOKUP($A10,[1]연도별!$A$2:$AA$35,27,0)</f>
        <v>94.424891859500022</v>
      </c>
      <c r="G10" s="236">
        <f t="shared" si="0"/>
        <v>95.269544505788502</v>
      </c>
      <c r="H10" s="470">
        <f>VLOOKUP($A10,[5]관서별배달부하량분석!$B$2:$I$38,8,0)</f>
        <v>114.35114503816794</v>
      </c>
      <c r="I10" s="524">
        <f t="shared" si="1"/>
        <v>94.8</v>
      </c>
      <c r="J10" s="237">
        <f t="shared" si="3"/>
        <v>101.57379648169429</v>
      </c>
      <c r="K10" s="238">
        <f t="shared" si="2"/>
        <v>-1.4919590646461955</v>
      </c>
      <c r="L10" s="238">
        <f t="shared" si="4"/>
        <v>-0.46954450578850526</v>
      </c>
    </row>
    <row r="11" spans="1:14" ht="24.95" customHeight="1">
      <c r="A11" s="246" t="s">
        <v>4</v>
      </c>
      <c r="B11" s="246" t="s">
        <v>406</v>
      </c>
      <c r="C11" s="465" t="s">
        <v>334</v>
      </c>
      <c r="D11" s="236">
        <f>VLOOKUP($A11,[1]연도별!$A$2:$AA$35,10,0)</f>
        <v>96.94810606102179</v>
      </c>
      <c r="E11" s="236">
        <f>VLOOKUP($A11,[1]연도별!$A$2:$AA$35,19,0)</f>
        <v>93.523003212032279</v>
      </c>
      <c r="F11" s="236">
        <f>VLOOKUP($A11,[1]연도별!$A$2:$AA$35,27,0)</f>
        <v>92.109668862041602</v>
      </c>
      <c r="G11" s="236">
        <f t="shared" si="0"/>
        <v>94.952887766528903</v>
      </c>
      <c r="H11" s="470">
        <f>VLOOKUP($A11,[5]관서별배달부하량분석!$B$2:$I$38,8,0)</f>
        <v>110.31007751937985</v>
      </c>
      <c r="I11" s="524">
        <f t="shared" si="1"/>
        <v>94.8</v>
      </c>
      <c r="J11" s="237">
        <f t="shared" si="3"/>
        <v>102.26593466352509</v>
      </c>
      <c r="K11" s="238">
        <f t="shared" si="2"/>
        <v>-2.1481060610217924</v>
      </c>
      <c r="L11" s="238">
        <f t="shared" si="4"/>
        <v>-0.1528877665289059</v>
      </c>
    </row>
    <row r="12" spans="1:14" ht="24.95" customHeight="1">
      <c r="A12" s="450" t="s">
        <v>7</v>
      </c>
      <c r="B12" s="246" t="s">
        <v>406</v>
      </c>
      <c r="C12" s="465" t="s">
        <v>334</v>
      </c>
      <c r="D12" s="236">
        <f>VLOOKUP($A12,[1]연도별!$A$2:$AA$35,10,0)</f>
        <v>94.191508839755357</v>
      </c>
      <c r="E12" s="236">
        <f>VLOOKUP($A12,[1]연도별!$A$2:$AA$35,19,0)</f>
        <v>93.017186051558426</v>
      </c>
      <c r="F12" s="236">
        <f>VLOOKUP($A12,[1]연도별!$A$2:$AA$35,27,0)</f>
        <v>94.149179156666492</v>
      </c>
      <c r="G12" s="236">
        <f t="shared" si="0"/>
        <v>93.8307460666785</v>
      </c>
      <c r="H12" s="470">
        <f>VLOOKUP($A12,[5]관서별배달부하량분석!$B$2:$I$38,8,0)</f>
        <v>108.72210953346857</v>
      </c>
      <c r="I12" s="524">
        <f t="shared" si="1"/>
        <v>94.8</v>
      </c>
      <c r="J12" s="421">
        <f t="shared" si="3"/>
        <v>99.358131687505661</v>
      </c>
      <c r="K12" s="238">
        <f t="shared" si="2"/>
        <v>0.60849116024463967</v>
      </c>
      <c r="L12" s="238">
        <f t="shared" si="4"/>
        <v>0.96925393332149667</v>
      </c>
    </row>
    <row r="13" spans="1:14" ht="24.95" customHeight="1">
      <c r="A13" s="246" t="s">
        <v>3</v>
      </c>
      <c r="B13" s="246" t="s">
        <v>406</v>
      </c>
      <c r="C13" s="465" t="s">
        <v>334</v>
      </c>
      <c r="D13" s="236">
        <f>VLOOKUP($A13,[1]연도별!$A$2:$AA$35,10,0)</f>
        <v>96.50659722269539</v>
      </c>
      <c r="E13" s="236">
        <f>VLOOKUP($A13,[1]연도별!$A$2:$AA$35,19,0)</f>
        <v>90.835720520857137</v>
      </c>
      <c r="F13" s="236">
        <f>VLOOKUP($A13,[1]연도별!$A$2:$AA$35,27,0)</f>
        <v>98.305350754248863</v>
      </c>
      <c r="G13" s="236">
        <f t="shared" si="0"/>
        <v>95.165084918454625</v>
      </c>
      <c r="H13" s="470">
        <f>VLOOKUP($A13,[5]관서별배달부하량분석!$B$2:$I$38,8,0)</f>
        <v>107.51748251748252</v>
      </c>
      <c r="I13" s="524">
        <f t="shared" si="1"/>
        <v>94.8</v>
      </c>
      <c r="J13" s="237">
        <f t="shared" si="3"/>
        <v>101.80020804081794</v>
      </c>
      <c r="K13" s="238">
        <f t="shared" si="2"/>
        <v>-1.7065972226953932</v>
      </c>
      <c r="L13" s="238">
        <f t="shared" si="4"/>
        <v>-0.36508491845462743</v>
      </c>
    </row>
    <row r="14" spans="1:14" ht="24.95" customHeight="1">
      <c r="A14" s="246" t="s">
        <v>1</v>
      </c>
      <c r="B14" s="246" t="s">
        <v>406</v>
      </c>
      <c r="C14" s="465" t="s">
        <v>334</v>
      </c>
      <c r="D14" s="236">
        <f>VLOOKUP($A14,[1]연도별!$A$2:$AA$35,10,0)</f>
        <v>96.54270833413257</v>
      </c>
      <c r="E14" s="236">
        <f>VLOOKUP($A14,[1]연도별!$A$2:$AA$35,19,0)</f>
        <v>94.32662042981238</v>
      </c>
      <c r="F14" s="236">
        <f>VLOOKUP($A14,[1]연도별!$A$2:$AA$35,27,0)</f>
        <v>93.362842630426371</v>
      </c>
      <c r="G14" s="236">
        <f t="shared" si="0"/>
        <v>95.241908822095269</v>
      </c>
      <c r="H14" s="470">
        <f>VLOOKUP($A14,[5]관서별배달부하량분석!$B$2:$I$38,8,0)</f>
        <v>103.781512605042</v>
      </c>
      <c r="I14" s="524">
        <f t="shared" si="1"/>
        <v>94.8</v>
      </c>
      <c r="J14" s="237">
        <f t="shared" si="3"/>
        <v>101.83829993051958</v>
      </c>
      <c r="K14" s="238">
        <f t="shared" si="2"/>
        <v>-1.7427083341325726</v>
      </c>
      <c r="L14" s="238">
        <f t="shared" si="4"/>
        <v>-0.4419088220952716</v>
      </c>
    </row>
    <row r="15" spans="1:14" ht="24.95" customHeight="1">
      <c r="A15" s="246" t="s">
        <v>0</v>
      </c>
      <c r="B15" s="246" t="s">
        <v>406</v>
      </c>
      <c r="C15" s="465" t="s">
        <v>334</v>
      </c>
      <c r="D15" s="236">
        <f>VLOOKUP($A15,[1]연도별!$A$2:$AA$35,10,0)</f>
        <v>96.103630051225068</v>
      </c>
      <c r="E15" s="236">
        <f>VLOOKUP($A15,[1]연도별!$A$2:$AA$35,19,0)</f>
        <v>94.598408838970713</v>
      </c>
      <c r="F15" s="236">
        <f>VLOOKUP($A15,[1]연도별!$A$2:$AA$35,27,0)</f>
        <v>91.940199625590864</v>
      </c>
      <c r="G15" s="236">
        <f t="shared" si="0"/>
        <v>94.819377602421923</v>
      </c>
      <c r="H15" s="470">
        <f>VLOOKUP($A15,[5]관서별배달부하량분석!$B$2:$I$38,8,0)</f>
        <v>103.13901345291478</v>
      </c>
      <c r="I15" s="524">
        <f t="shared" si="1"/>
        <v>94.8</v>
      </c>
      <c r="J15" s="237">
        <f t="shared" si="3"/>
        <v>101.37513718483657</v>
      </c>
      <c r="K15" s="238">
        <f t="shared" si="2"/>
        <v>-1.3036300512250705</v>
      </c>
      <c r="L15" s="238">
        <f t="shared" si="4"/>
        <v>-1.9377602421926099E-2</v>
      </c>
    </row>
    <row r="16" spans="1:14" ht="24.95" customHeight="1">
      <c r="A16" s="248" t="s">
        <v>23</v>
      </c>
      <c r="B16" s="248" t="s">
        <v>408</v>
      </c>
      <c r="C16" s="231" t="s">
        <v>335</v>
      </c>
      <c r="D16" s="240">
        <f>VLOOKUP($A16,[1]연도별!$A$2:$AA$35,10,0)</f>
        <v>96.237280701998884</v>
      </c>
      <c r="E16" s="240">
        <f>VLOOKUP($A16,[1]연도별!$A$2:$AA$35,19,0)</f>
        <v>94.900262724416905</v>
      </c>
      <c r="F16" s="240">
        <f>VLOOKUP($A16,[1]연도별!$A$2:$AA$35,27,0)</f>
        <v>92.19306255212885</v>
      </c>
      <c r="G16" s="240">
        <f t="shared" si="0"/>
        <v>95.027331678750286</v>
      </c>
      <c r="H16" s="471">
        <f>VLOOKUP($A16,[5]관서별배달부하량분석!$B$2:$I$38,8,0)</f>
        <v>109.75975975975976</v>
      </c>
      <c r="I16" s="525">
        <f>ROUNDUP(AVERAGE($G$16:$G$24),1)</f>
        <v>95.6</v>
      </c>
      <c r="J16" s="241">
        <f>D16/I16*100</f>
        <v>100.66661161296955</v>
      </c>
      <c r="K16" s="242">
        <f t="shared" si="2"/>
        <v>-0.63728070199888975</v>
      </c>
      <c r="L16" s="242">
        <f>I16-G16</f>
        <v>0.5726683212497079</v>
      </c>
    </row>
    <row r="17" spans="1:12" ht="24.95" customHeight="1">
      <c r="A17" s="248" t="s">
        <v>9</v>
      </c>
      <c r="B17" s="248" t="s">
        <v>408</v>
      </c>
      <c r="C17" s="231" t="s">
        <v>335</v>
      </c>
      <c r="D17" s="240">
        <f>VLOOKUP($A17,[1]연도별!$A$2:$AA$35,10,0)</f>
        <v>97.213005050509139</v>
      </c>
      <c r="E17" s="240">
        <f>VLOOKUP($A17,[1]연도별!$A$2:$AA$35,19,0)</f>
        <v>95.267643456022725</v>
      </c>
      <c r="F17" s="240">
        <f>VLOOKUP($A17,[1]연도별!$A$2:$AA$35,27,0)</f>
        <v>93.593139359556247</v>
      </c>
      <c r="G17" s="240">
        <f t="shared" si="0"/>
        <v>95.905423433972643</v>
      </c>
      <c r="H17" s="471">
        <f>VLOOKUP($A17,[5]관서별배달부하량분석!$B$2:$I$38,8,0)</f>
        <v>109.5</v>
      </c>
      <c r="I17" s="525">
        <f t="shared" ref="I17:I24" si="5">ROUNDUP(AVERAGE($G$17:$G$24),1)</f>
        <v>95.6</v>
      </c>
      <c r="J17" s="241">
        <f t="shared" si="3"/>
        <v>101.68724377668322</v>
      </c>
      <c r="K17" s="242">
        <f t="shared" si="2"/>
        <v>-1.6130050505091447</v>
      </c>
      <c r="L17" s="242">
        <f t="shared" si="4"/>
        <v>-0.30542343397264915</v>
      </c>
    </row>
    <row r="18" spans="1:12" ht="24.95" customHeight="1">
      <c r="A18" s="248" t="s">
        <v>10</v>
      </c>
      <c r="B18" s="248" t="s">
        <v>408</v>
      </c>
      <c r="C18" s="231" t="s">
        <v>335</v>
      </c>
      <c r="D18" s="240">
        <f>VLOOKUP($A18,[1]연도별!$A$2:$AA$35,10,0)</f>
        <v>96.812058080839634</v>
      </c>
      <c r="E18" s="240">
        <f>VLOOKUP($A18,[1]연도별!$A$2:$AA$35,19,0)</f>
        <v>95.487195891852267</v>
      </c>
      <c r="F18" s="240">
        <f>VLOOKUP($A18,[1]연도별!$A$2:$AA$35,27,0)</f>
        <v>94.720021173255887</v>
      </c>
      <c r="G18" s="240">
        <f t="shared" si="0"/>
        <v>95.996192042626674</v>
      </c>
      <c r="H18" s="471">
        <f>VLOOKUP($A18,[5]관서별배달부하량분석!$B$2:$I$38,8,0)</f>
        <v>107.92792792792794</v>
      </c>
      <c r="I18" s="525">
        <f t="shared" si="5"/>
        <v>95.6</v>
      </c>
      <c r="J18" s="241">
        <f t="shared" si="3"/>
        <v>101.2678431807946</v>
      </c>
      <c r="K18" s="242">
        <f t="shared" si="2"/>
        <v>-1.2120580808396397</v>
      </c>
      <c r="L18" s="242">
        <f t="shared" si="4"/>
        <v>-0.39619204262668006</v>
      </c>
    </row>
    <row r="19" spans="1:12" ht="24.95" customHeight="1">
      <c r="A19" s="248" t="s">
        <v>6</v>
      </c>
      <c r="B19" s="248" t="s">
        <v>408</v>
      </c>
      <c r="C19" s="231" t="s">
        <v>335</v>
      </c>
      <c r="D19" s="240">
        <f>VLOOKUP($A19,[1]연도별!$A$2:$AA$35,10,0)</f>
        <v>96.35359848611742</v>
      </c>
      <c r="E19" s="240">
        <f>VLOOKUP($A19,[1]연도별!$A$2:$AA$35,19,0)</f>
        <v>93.827846231024623</v>
      </c>
      <c r="F19" s="240">
        <f>VLOOKUP($A19,[1]연도별!$A$2:$AA$35,27,0)</f>
        <v>96.515080095332209</v>
      </c>
      <c r="G19" s="240">
        <f t="shared" si="0"/>
        <v>95.628169131432543</v>
      </c>
      <c r="H19" s="471">
        <f>VLOOKUP($A19,[5]관서별배달부하량분석!$B$2:$I$38,8,0)</f>
        <v>105.17560073937153</v>
      </c>
      <c r="I19" s="525">
        <f t="shared" si="5"/>
        <v>95.6</v>
      </c>
      <c r="J19" s="241">
        <f t="shared" si="3"/>
        <v>100.78828293526927</v>
      </c>
      <c r="K19" s="242">
        <f t="shared" si="2"/>
        <v>-0.75359848611742564</v>
      </c>
      <c r="L19" s="242">
        <f t="shared" si="4"/>
        <v>-2.8169131432548511E-2</v>
      </c>
    </row>
    <row r="20" spans="1:12" ht="24.95" customHeight="1">
      <c r="A20" s="248" t="s">
        <v>17</v>
      </c>
      <c r="B20" s="248" t="s">
        <v>408</v>
      </c>
      <c r="C20" s="231" t="s">
        <v>335</v>
      </c>
      <c r="D20" s="240">
        <f>VLOOKUP($A20,[1]연도별!$A$2:$AA$35,10,0)</f>
        <v>96.803819444748711</v>
      </c>
      <c r="E20" s="240">
        <f>VLOOKUP($A20,[1]연도별!$A$2:$AA$35,19,0)</f>
        <v>94.486198469911912</v>
      </c>
      <c r="F20" s="240">
        <f>VLOOKUP($A20,[1]연도별!$A$2:$AA$35,27,0)</f>
        <v>92.342089788994798</v>
      </c>
      <c r="G20" s="240">
        <f t="shared" si="0"/>
        <v>95.216187221146896</v>
      </c>
      <c r="H20" s="471">
        <f>VLOOKUP($A20,[5]관서별배달부하량분석!$B$2:$I$38,8,0)</f>
        <v>102.17076700434153</v>
      </c>
      <c r="I20" s="525">
        <f t="shared" si="5"/>
        <v>95.6</v>
      </c>
      <c r="J20" s="241">
        <f>D20/I20*100</f>
        <v>101.25922536061583</v>
      </c>
      <c r="K20" s="242">
        <f t="shared" si="2"/>
        <v>-1.2038194447487172</v>
      </c>
      <c r="L20" s="242">
        <f>I20-G20</f>
        <v>0.38381277885309828</v>
      </c>
    </row>
    <row r="21" spans="1:12" ht="24.95" customHeight="1">
      <c r="A21" s="248" t="s">
        <v>19</v>
      </c>
      <c r="B21" s="248" t="s">
        <v>407</v>
      </c>
      <c r="C21" s="231" t="s">
        <v>335</v>
      </c>
      <c r="D21" s="240">
        <f>VLOOKUP($A21,[1]연도별!$A$2:$AA$35,10,0)</f>
        <v>95.633080807786612</v>
      </c>
      <c r="E21" s="240">
        <f>VLOOKUP($A21,[1]연도별!$A$2:$AA$35,19,0)</f>
        <v>92.801078296601005</v>
      </c>
      <c r="F21" s="240">
        <f>VLOOKUP($A21,[1]연도별!$A$2:$AA$35,27,0)</f>
        <v>95.114520800000022</v>
      </c>
      <c r="G21" s="240">
        <f t="shared" si="0"/>
        <v>94.679768052873612</v>
      </c>
      <c r="H21" s="471">
        <f>VLOOKUP($A21,[5]관서별배달부하량분석!$B$2:$I$38,8,0)</f>
        <v>113.51744186046511</v>
      </c>
      <c r="I21" s="525">
        <f t="shared" si="5"/>
        <v>95.6</v>
      </c>
      <c r="J21" s="241">
        <f>D21/I21*100</f>
        <v>100.03460335542533</v>
      </c>
      <c r="K21" s="242">
        <f t="shared" si="2"/>
        <v>-3.3080807786618038E-2</v>
      </c>
      <c r="L21" s="242">
        <f>I21-G21</f>
        <v>0.92023194712638201</v>
      </c>
    </row>
    <row r="22" spans="1:12" ht="24.95" customHeight="1">
      <c r="A22" s="248" t="s">
        <v>22</v>
      </c>
      <c r="B22" s="248" t="s">
        <v>409</v>
      </c>
      <c r="C22" s="231" t="s">
        <v>335</v>
      </c>
      <c r="D22" s="240">
        <f>VLOOKUP($A22,[1]연도별!$A$2:$AA$35,10,0)</f>
        <v>98.42786195241456</v>
      </c>
      <c r="E22" s="240">
        <f>VLOOKUP($A22,[1]연도별!$A$2:$AA$35,19,0)</f>
        <v>94.252229998161951</v>
      </c>
      <c r="F22" s="240">
        <f>VLOOKUP($A22,[1]연도별!$A$2:$AA$35,27,0)</f>
        <v>96.091486326500018</v>
      </c>
      <c r="G22" s="240">
        <f t="shared" si="0"/>
        <v>96.707897240955873</v>
      </c>
      <c r="H22" s="471">
        <f>VLOOKUP($A22,[5]관서별배달부하량분석!$B$2:$I$38,8,0)</f>
        <v>104.27350427350429</v>
      </c>
      <c r="I22" s="525">
        <f t="shared" si="5"/>
        <v>95.6</v>
      </c>
      <c r="J22" s="241">
        <f t="shared" si="3"/>
        <v>102.9580145945759</v>
      </c>
      <c r="K22" s="242">
        <f t="shared" si="2"/>
        <v>-2.8278619524145654</v>
      </c>
      <c r="L22" s="242">
        <f t="shared" si="4"/>
        <v>-1.1078972409558787</v>
      </c>
    </row>
    <row r="23" spans="1:12" ht="24.95" customHeight="1">
      <c r="A23" s="450" t="s">
        <v>27</v>
      </c>
      <c r="B23" s="248" t="s">
        <v>409</v>
      </c>
      <c r="C23" s="231" t="s">
        <v>336</v>
      </c>
      <c r="D23" s="240">
        <f>VLOOKUP($A23,[1]연도별!$A$2:$AA$35,10,0)</f>
        <v>95.488341751180968</v>
      </c>
      <c r="E23" s="240">
        <f>VLOOKUP($A23,[1]연도별!$A$2:$AA$35,19,0)</f>
        <v>93.942318563511662</v>
      </c>
      <c r="F23" s="240">
        <f>VLOOKUP($A23,[1]연도별!$A$2:$AA$35,27,0)</f>
        <v>94.215090262144997</v>
      </c>
      <c r="G23" s="240">
        <f t="shared" si="0"/>
        <v>94.769884497072979</v>
      </c>
      <c r="H23" s="471">
        <f>VLOOKUP($A23,[5]관서별배달부하량분석!$B$2:$I$38,8,0)</f>
        <v>115.98639455782313</v>
      </c>
      <c r="I23" s="525">
        <f t="shared" si="5"/>
        <v>95.6</v>
      </c>
      <c r="J23" s="421">
        <f t="shared" si="3"/>
        <v>99.883202668599353</v>
      </c>
      <c r="K23" s="242">
        <f t="shared" si="2"/>
        <v>0.11165824881902608</v>
      </c>
      <c r="L23" s="242">
        <f t="shared" si="4"/>
        <v>0.83011550292701486</v>
      </c>
    </row>
    <row r="24" spans="1:12" ht="24.95" customHeight="1">
      <c r="A24" s="248" t="s">
        <v>29</v>
      </c>
      <c r="B24" s="248" t="s">
        <v>409</v>
      </c>
      <c r="C24" s="231" t="s">
        <v>336</v>
      </c>
      <c r="D24" s="240">
        <f>VLOOKUP($A24,[1]연도별!$A$2:$AA$35,10,0)</f>
        <v>96.465067340402342</v>
      </c>
      <c r="E24" s="240">
        <f>VLOOKUP($A24,[1]연도별!$A$2:$AA$35,19,0)</f>
        <v>94.534290924825541</v>
      </c>
      <c r="F24" s="240">
        <f>VLOOKUP($A24,[1]연도별!$A$2:$AA$35,27,0)</f>
        <v>95.892836771054206</v>
      </c>
      <c r="G24" s="240">
        <f t="shared" si="0"/>
        <v>95.771388301859673</v>
      </c>
      <c r="H24" s="471">
        <f>VLOOKUP($A24,[5]관서별배달부하량분석!$B$2:$I$38,8,0)</f>
        <v>113.67713004484305</v>
      </c>
      <c r="I24" s="525">
        <f t="shared" si="5"/>
        <v>95.6</v>
      </c>
      <c r="J24" s="241">
        <f t="shared" si="3"/>
        <v>100.90488215523258</v>
      </c>
      <c r="K24" s="242">
        <f t="shared" si="2"/>
        <v>-0.8650673404023479</v>
      </c>
      <c r="L24" s="242">
        <f t="shared" si="4"/>
        <v>-0.1713883018596789</v>
      </c>
    </row>
    <row r="25" spans="1:12" ht="24.95" customHeight="1">
      <c r="A25" s="249" t="s">
        <v>15</v>
      </c>
      <c r="B25" s="249" t="s">
        <v>409</v>
      </c>
      <c r="C25" s="466" t="s">
        <v>336</v>
      </c>
      <c r="D25" s="233">
        <f>VLOOKUP($A25,[1]연도별!$A$2:$AA$35,10,0)</f>
        <v>97.640025252622479</v>
      </c>
      <c r="E25" s="233">
        <f>VLOOKUP($A25,[1]연도별!$A$2:$AA$35,19,0)</f>
        <v>96.291944144298455</v>
      </c>
      <c r="F25" s="233">
        <f>VLOOKUP($A25,[1]연도별!$A$2:$AA$35,27,0)</f>
        <v>96.421296124249977</v>
      </c>
      <c r="G25" s="233">
        <f t="shared" si="0"/>
        <v>96.991855094450756</v>
      </c>
      <c r="H25" s="472">
        <f>VLOOKUP($A25,[5]관서별배달부하량분석!$B$2:$I$38,8,0)</f>
        <v>108.92116182572613</v>
      </c>
      <c r="I25" s="526">
        <f>ROUNDUP(AVERAGE($G$25:$G$36),1)</f>
        <v>96.6</v>
      </c>
      <c r="J25" s="234">
        <f t="shared" si="3"/>
        <v>101.07663069629658</v>
      </c>
      <c r="K25" s="235">
        <f t="shared" si="2"/>
        <v>-1.0400252526224847</v>
      </c>
      <c r="L25" s="235">
        <f t="shared" si="4"/>
        <v>-0.3918550944507615</v>
      </c>
    </row>
    <row r="26" spans="1:12" ht="24.95" customHeight="1">
      <c r="A26" s="450" t="s">
        <v>24</v>
      </c>
      <c r="B26" s="249" t="s">
        <v>274</v>
      </c>
      <c r="C26" s="466" t="s">
        <v>336</v>
      </c>
      <c r="D26" s="233">
        <f>VLOOKUP($A26,[1]연도별!$A$2:$AA$35,10,0)</f>
        <v>96.157112795091749</v>
      </c>
      <c r="E26" s="233">
        <f>VLOOKUP($A26,[1]연도별!$A$2:$AA$35,19,0)</f>
        <v>96.784583066597946</v>
      </c>
      <c r="F26" s="233">
        <f>VLOOKUP($A26,[1]연도별!$A$2:$AA$35,27,0)</f>
        <v>94.964036511999964</v>
      </c>
      <c r="G26" s="233">
        <f t="shared" si="0"/>
        <v>96.106738619925252</v>
      </c>
      <c r="H26" s="472">
        <f>VLOOKUP($A26,[5]관서별배달부하량분석!$B$2:$I$38,8,0)</f>
        <v>105.4131054131054</v>
      </c>
      <c r="I26" s="526">
        <f t="shared" ref="I26:I36" si="6">ROUNDUP(AVERAGE($G$25:$G$36),1)</f>
        <v>96.6</v>
      </c>
      <c r="J26" s="421">
        <f t="shared" si="3"/>
        <v>99.541524632600158</v>
      </c>
      <c r="K26" s="235">
        <f t="shared" si="2"/>
        <v>0.44288720490824574</v>
      </c>
      <c r="L26" s="235">
        <f t="shared" si="4"/>
        <v>0.49326138007474185</v>
      </c>
    </row>
    <row r="27" spans="1:12" ht="24.95" customHeight="1">
      <c r="A27" s="450" t="s">
        <v>26</v>
      </c>
      <c r="B27" s="249" t="s">
        <v>274</v>
      </c>
      <c r="C27" s="466" t="s">
        <v>336</v>
      </c>
      <c r="D27" s="233">
        <f>VLOOKUP($A27,[1]연도별!$A$2:$AA$35,10,0)</f>
        <v>95.620412458223882</v>
      </c>
      <c r="E27" s="233">
        <f>VLOOKUP($A27,[1]연도별!$A$2:$AA$35,19,0)</f>
        <v>96.055911203719191</v>
      </c>
      <c r="F27" s="233">
        <f>VLOOKUP($A27,[1]연도별!$A$2:$AA$35,27,0)</f>
        <v>97.57729171705418</v>
      </c>
      <c r="G27" s="233">
        <f t="shared" si="0"/>
        <v>96.142437933638547</v>
      </c>
      <c r="H27" s="472">
        <f>VLOOKUP($A27,[5]관서별배달부하량분석!$B$2:$I$38,8,0)</f>
        <v>105.32994923857868</v>
      </c>
      <c r="I27" s="526">
        <f t="shared" si="6"/>
        <v>96.6</v>
      </c>
      <c r="J27" s="421">
        <f t="shared" si="3"/>
        <v>98.985934221763856</v>
      </c>
      <c r="K27" s="235">
        <f t="shared" si="2"/>
        <v>0.9795875417761124</v>
      </c>
      <c r="L27" s="235">
        <f t="shared" si="4"/>
        <v>0.45756206636144725</v>
      </c>
    </row>
    <row r="28" spans="1:12" ht="24.95" customHeight="1">
      <c r="A28" s="450" t="s">
        <v>14</v>
      </c>
      <c r="B28" s="249" t="s">
        <v>274</v>
      </c>
      <c r="C28" s="466" t="s">
        <v>336</v>
      </c>
      <c r="D28" s="233">
        <f>VLOOKUP($A28,[1]연도별!$A$2:$AA$35,10,0)</f>
        <v>95.740361954085017</v>
      </c>
      <c r="E28" s="233">
        <f>VLOOKUP($A28,[1]연도별!$A$2:$AA$35,19,0)</f>
        <v>95.899165074810625</v>
      </c>
      <c r="F28" s="233">
        <f>VLOOKUP($A28,[1]연도별!$A$2:$AA$35,27,0)</f>
        <v>95.95935534500002</v>
      </c>
      <c r="G28" s="233">
        <f t="shared" si="0"/>
        <v>95.831801568485702</v>
      </c>
      <c r="H28" s="472">
        <f>VLOOKUP($A28,[5]관서별배달부하량분석!$B$2:$I$38,8,0)</f>
        <v>102.90322580645162</v>
      </c>
      <c r="I28" s="526">
        <f t="shared" si="6"/>
        <v>96.6</v>
      </c>
      <c r="J28" s="421">
        <f t="shared" si="3"/>
        <v>99.110105542531073</v>
      </c>
      <c r="K28" s="235">
        <f t="shared" si="2"/>
        <v>0.85963804591497706</v>
      </c>
      <c r="L28" s="235">
        <f t="shared" si="4"/>
        <v>0.76819843151429268</v>
      </c>
    </row>
    <row r="29" spans="1:12" ht="24.95" customHeight="1">
      <c r="A29" s="249" t="s">
        <v>16</v>
      </c>
      <c r="B29" s="249" t="s">
        <v>274</v>
      </c>
      <c r="C29" s="466" t="s">
        <v>336</v>
      </c>
      <c r="D29" s="233">
        <f>VLOOKUP($A29,[1]연도별!$A$2:$AA$35,10,0)</f>
        <v>98.121969696696965</v>
      </c>
      <c r="E29" s="233">
        <f>VLOOKUP($A29,[1]연도별!$A$2:$AA$35,19,0)</f>
        <v>97.147075175141666</v>
      </c>
      <c r="F29" s="233">
        <f>VLOOKUP($A29,[1]연도별!$A$2:$AA$35,27,0)</f>
        <v>95.690151621529452</v>
      </c>
      <c r="G29" s="233">
        <f t="shared" si="0"/>
        <v>97.343137725196868</v>
      </c>
      <c r="H29" s="472">
        <f>VLOOKUP($A29,[5]관서별배달부하량분석!$B$2:$I$38,8,0)</f>
        <v>101.60642570281124</v>
      </c>
      <c r="I29" s="526">
        <f t="shared" si="6"/>
        <v>96.6</v>
      </c>
      <c r="J29" s="234">
        <f t="shared" si="3"/>
        <v>101.57553798829915</v>
      </c>
      <c r="K29" s="235">
        <f t="shared" si="2"/>
        <v>-1.5219696966969707</v>
      </c>
      <c r="L29" s="235">
        <f t="shared" si="4"/>
        <v>-0.74313772519687404</v>
      </c>
    </row>
    <row r="30" spans="1:12" ht="24.95" customHeight="1">
      <c r="A30" s="249" t="s">
        <v>30</v>
      </c>
      <c r="B30" s="249" t="s">
        <v>274</v>
      </c>
      <c r="C30" s="466" t="s">
        <v>336</v>
      </c>
      <c r="D30" s="233">
        <f>VLOOKUP($A30,[1]연도별!$A$2:$AA$35,10,0)</f>
        <v>97.105555556770213</v>
      </c>
      <c r="E30" s="233">
        <f>VLOOKUP($A30,[1]연도별!$A$2:$AA$35,19,0)</f>
        <v>95.530890755492464</v>
      </c>
      <c r="F30" s="233">
        <f>VLOOKUP($A30,[1]연도별!$A$2:$AA$35,27,0)</f>
        <v>97.783358245852938</v>
      </c>
      <c r="G30" s="233">
        <f t="shared" si="0"/>
        <v>96.768716654203445</v>
      </c>
      <c r="H30" s="472">
        <f>VLOOKUP($A30,[5]관서별배달부하량분석!$B$2:$I$38,8,0)</f>
        <v>100.29673590504449</v>
      </c>
      <c r="I30" s="526">
        <f t="shared" si="6"/>
        <v>96.6</v>
      </c>
      <c r="J30" s="234">
        <f t="shared" si="3"/>
        <v>100.52334943765034</v>
      </c>
      <c r="K30" s="235">
        <f t="shared" si="2"/>
        <v>-0.50555555677021857</v>
      </c>
      <c r="L30" s="235">
        <f t="shared" si="4"/>
        <v>-0.16871665420345039</v>
      </c>
    </row>
    <row r="31" spans="1:12" ht="24.95" customHeight="1">
      <c r="A31" s="249" t="s">
        <v>18</v>
      </c>
      <c r="B31" s="249" t="s">
        <v>274</v>
      </c>
      <c r="C31" s="466" t="s">
        <v>336</v>
      </c>
      <c r="D31" s="233">
        <f>VLOOKUP($A31,[1]연도별!$A$2:$AA$35,10,0)</f>
        <v>98.069402357211288</v>
      </c>
      <c r="E31" s="233">
        <f>VLOOKUP($A31,[1]연도별!$A$2:$AA$35,19,0)</f>
        <v>94.655029453503758</v>
      </c>
      <c r="F31" s="233">
        <f>VLOOKUP($A31,[1]연도별!$A$2:$AA$35,27,0)</f>
        <v>93.883814550317197</v>
      </c>
      <c r="G31" s="233">
        <f t="shared" si="0"/>
        <v>96.20797292472021</v>
      </c>
      <c r="H31" s="472">
        <f>VLOOKUP($A31,[5]관서별배달부하량분석!$B$2:$I$38,8,0)</f>
        <v>98.055555555555557</v>
      </c>
      <c r="I31" s="526">
        <f t="shared" si="6"/>
        <v>96.6</v>
      </c>
      <c r="J31" s="234">
        <f t="shared" si="3"/>
        <v>101.52112045259969</v>
      </c>
      <c r="K31" s="235">
        <f t="shared" si="2"/>
        <v>-1.469402357211294</v>
      </c>
      <c r="L31" s="235">
        <f t="shared" si="4"/>
        <v>0.39202707527978475</v>
      </c>
    </row>
    <row r="32" spans="1:12" ht="24.95" customHeight="1">
      <c r="A32" s="450" t="s">
        <v>28</v>
      </c>
      <c r="B32" s="249" t="s">
        <v>274</v>
      </c>
      <c r="C32" s="466" t="s">
        <v>336</v>
      </c>
      <c r="D32" s="233">
        <f>VLOOKUP($A32,[1]연도별!$A$2:$AA$35,10,0)</f>
        <v>96.32424242521968</v>
      </c>
      <c r="E32" s="233">
        <f>VLOOKUP($A32,[1]연도별!$A$2:$AA$35,19,0)</f>
        <v>95.322051004403406</v>
      </c>
      <c r="F32" s="233">
        <f>VLOOKUP($A32,[1]연도별!$A$2:$AA$35,27,0)</f>
        <v>92.480762939117582</v>
      </c>
      <c r="G32" s="233">
        <f t="shared" si="0"/>
        <v>95.254889101754372</v>
      </c>
      <c r="H32" s="472">
        <f>VLOOKUP($A32,[5]관서별배달부하량분석!$B$2:$I$38,8,0)</f>
        <v>97.810218978102199</v>
      </c>
      <c r="I32" s="526">
        <f t="shared" si="6"/>
        <v>96.6</v>
      </c>
      <c r="J32" s="421">
        <f t="shared" si="3"/>
        <v>99.714536672070068</v>
      </c>
      <c r="K32" s="235">
        <f t="shared" si="2"/>
        <v>0.27575757478031448</v>
      </c>
      <c r="L32" s="235">
        <f t="shared" si="4"/>
        <v>1.3451108982456219</v>
      </c>
    </row>
    <row r="33" spans="1:13" ht="24.95" customHeight="1">
      <c r="A33" s="249" t="s">
        <v>20</v>
      </c>
      <c r="B33" s="249" t="s">
        <v>274</v>
      </c>
      <c r="C33" s="466" t="s">
        <v>336</v>
      </c>
      <c r="D33" s="233">
        <f>VLOOKUP($A33,[1]연도별!$A$2:$AA$35,10,0)</f>
        <v>98.278998316592578</v>
      </c>
      <c r="E33" s="233">
        <f>VLOOKUP($A33,[1]연도별!$A$2:$AA$35,19,0)</f>
        <v>96.366179866662748</v>
      </c>
      <c r="F33" s="233">
        <f>VLOOKUP($A33,[1]연도별!$A$2:$AA$35,27,0)</f>
        <v>95.123829737032878</v>
      </c>
      <c r="G33" s="233">
        <f t="shared" si="0"/>
        <v>97.074119065701694</v>
      </c>
      <c r="H33" s="472">
        <f>VLOOKUP($A33,[5]관서별배달부하량분석!$B$2:$I$38,8,0)</f>
        <v>97.570850202429156</v>
      </c>
      <c r="I33" s="526">
        <f t="shared" si="6"/>
        <v>96.6</v>
      </c>
      <c r="J33" s="234">
        <f t="shared" si="3"/>
        <v>101.73809349543745</v>
      </c>
      <c r="K33" s="235">
        <f t="shared" si="2"/>
        <v>-1.6789983165925833</v>
      </c>
      <c r="L33" s="235">
        <f t="shared" si="4"/>
        <v>-0.47411906570170004</v>
      </c>
    </row>
    <row r="34" spans="1:13" ht="24.95" customHeight="1">
      <c r="A34" s="249" t="s">
        <v>21</v>
      </c>
      <c r="B34" s="249" t="s">
        <v>274</v>
      </c>
      <c r="C34" s="466" t="s">
        <v>336</v>
      </c>
      <c r="D34" s="233">
        <f>VLOOKUP($A34,[1]연도별!$A$2:$AA$35,10,0)</f>
        <v>99.197727272943169</v>
      </c>
      <c r="E34" s="233">
        <f>VLOOKUP($A34,[1]연도별!$A$2:$AA$35,19,0)</f>
        <v>96.507818297051244</v>
      </c>
      <c r="F34" s="233">
        <f>VLOOKUP($A34,[1]연도별!$A$2:$AA$35,27,0)</f>
        <v>94.792718519313496</v>
      </c>
      <c r="G34" s="233">
        <f t="shared" si="0"/>
        <v>97.509752829449653</v>
      </c>
      <c r="H34" s="472">
        <f>VLOOKUP($A34,[5]관서별배달부하량분석!$B$2:$I$38,8,0)</f>
        <v>97.560975609756099</v>
      </c>
      <c r="I34" s="526">
        <f t="shared" si="6"/>
        <v>96.6</v>
      </c>
      <c r="J34" s="234">
        <f t="shared" si="3"/>
        <v>102.68915866764303</v>
      </c>
      <c r="K34" s="235">
        <f t="shared" si="2"/>
        <v>-2.5977272729431746</v>
      </c>
      <c r="L34" s="235">
        <f t="shared" si="4"/>
        <v>-0.90975282944965841</v>
      </c>
    </row>
    <row r="35" spans="1:13" ht="24.95" customHeight="1">
      <c r="A35" s="249" t="s">
        <v>25</v>
      </c>
      <c r="B35" s="249" t="s">
        <v>274</v>
      </c>
      <c r="C35" s="466" t="s">
        <v>336</v>
      </c>
      <c r="D35" s="233">
        <f>VLOOKUP($A35,[1]연도별!$A$2:$AA$35,10,0)</f>
        <v>97.469149831732736</v>
      </c>
      <c r="E35" s="233">
        <f>VLOOKUP($A35,[1]연도별!$A$2:$AA$35,19,0)</f>
        <v>95.208766333264677</v>
      </c>
      <c r="F35" s="233">
        <f>VLOOKUP($A35,[1]연도별!$A$2:$AA$35,27,0)</f>
        <v>96.558589182874968</v>
      </c>
      <c r="G35" s="233">
        <f t="shared" si="0"/>
        <v>96.608922652420773</v>
      </c>
      <c r="H35" s="472">
        <f>VLOOKUP($A35,[5]관서별배달부하량분석!$B$2:$I$38,8,0)</f>
        <v>95.854922279792746</v>
      </c>
      <c r="I35" s="526">
        <f t="shared" si="6"/>
        <v>96.6</v>
      </c>
      <c r="J35" s="234">
        <f t="shared" si="3"/>
        <v>100.89974102663845</v>
      </c>
      <c r="K35" s="235">
        <f t="shared" si="2"/>
        <v>-0.86914983173274152</v>
      </c>
      <c r="L35" s="235">
        <f t="shared" si="4"/>
        <v>-8.9226524207788316E-3</v>
      </c>
    </row>
    <row r="36" spans="1:13" ht="24.95" customHeight="1">
      <c r="A36" s="249" t="s">
        <v>31</v>
      </c>
      <c r="B36" s="249" t="s">
        <v>274</v>
      </c>
      <c r="C36" s="466" t="s">
        <v>336</v>
      </c>
      <c r="D36" s="233">
        <f>VLOOKUP($A36,[1]연도별!$A$2:$AA$35,10,0)</f>
        <v>97.799284512230642</v>
      </c>
      <c r="E36" s="233">
        <f>VLOOKUP($A36,[1]연도별!$A$2:$AA$35,19,0)</f>
        <v>93.963344040633189</v>
      </c>
      <c r="F36" s="233">
        <f>VLOOKUP($A36,[1]연도별!$A$2:$AA$35,27,0)</f>
        <v>95.648161517500014</v>
      </c>
      <c r="G36" s="233">
        <f t="shared" si="0"/>
        <v>96.218277771805276</v>
      </c>
      <c r="H36" s="472">
        <f>VLOOKUP($A36,[5]관서별배달부하량분석!$B$2:$I$38,8,0)</f>
        <v>90.640394088669936</v>
      </c>
      <c r="I36" s="526">
        <f t="shared" si="6"/>
        <v>96.6</v>
      </c>
      <c r="J36" s="234">
        <f t="shared" si="3"/>
        <v>101.24149535427603</v>
      </c>
      <c r="K36" s="235">
        <f t="shared" si="2"/>
        <v>-1.1992845122306477</v>
      </c>
      <c r="L36" s="235">
        <f t="shared" si="4"/>
        <v>0.38172222819471813</v>
      </c>
    </row>
    <row r="37" spans="1:13" ht="24.95" customHeight="1" thickBot="1">
      <c r="A37" s="250" t="s">
        <v>337</v>
      </c>
      <c r="B37" s="250"/>
      <c r="C37" s="243"/>
      <c r="D37" s="244">
        <f t="shared" ref="D37:I37" si="7">AVERAGE(D5:D36)</f>
        <v>96.580971810824337</v>
      </c>
      <c r="E37" s="244">
        <f t="shared" si="7"/>
        <v>94.563284645721168</v>
      </c>
      <c r="F37" s="244">
        <f t="shared" si="7"/>
        <v>94.793625828445769</v>
      </c>
      <c r="G37" s="244">
        <f t="shared" si="7"/>
        <v>95.618196464817672</v>
      </c>
      <c r="H37" s="469">
        <f>AVERAGE(H5:H36)</f>
        <v>107.23407566547213</v>
      </c>
      <c r="I37" s="473">
        <f t="shared" si="7"/>
        <v>95.699999999999932</v>
      </c>
      <c r="J37" s="226">
        <f t="shared" si="3"/>
        <v>100.92055570619061</v>
      </c>
      <c r="K37" s="245">
        <f t="shared" si="2"/>
        <v>-0.88097181082440557</v>
      </c>
      <c r="L37" s="245">
        <f t="shared" ref="L37" si="8">I37-G37</f>
        <v>8.1803535182260134E-2</v>
      </c>
    </row>
    <row r="38" spans="1:13" ht="24.95" customHeight="1" thickTop="1">
      <c r="A38" s="227"/>
      <c r="B38" s="227"/>
    </row>
    <row r="39" spans="1:13" ht="24.95" customHeight="1">
      <c r="A39" s="495" t="s">
        <v>410</v>
      </c>
      <c r="B39" s="265"/>
      <c r="C39" s="265"/>
    </row>
    <row r="40" spans="1:13" ht="24.95" customHeight="1">
      <c r="A40" s="464" t="s">
        <v>332</v>
      </c>
      <c r="B40" s="651" t="s">
        <v>413</v>
      </c>
      <c r="C40" s="557"/>
      <c r="D40" s="651" t="s">
        <v>414</v>
      </c>
      <c r="E40" s="557"/>
    </row>
    <row r="41" spans="1:13" s="251" customFormat="1" ht="24.95" customHeight="1">
      <c r="A41" s="217" t="s">
        <v>330</v>
      </c>
      <c r="B41" s="652">
        <f>STDEV(G5:G20)</f>
        <v>0.66565921861805977</v>
      </c>
      <c r="C41" s="653"/>
      <c r="D41" s="652">
        <f>STDEV(I5:I20)</f>
        <v>0.38297084311114798</v>
      </c>
      <c r="E41" s="653"/>
      <c r="F41" s="453"/>
      <c r="G41" s="453"/>
      <c r="H41" s="453"/>
      <c r="I41" s="453"/>
      <c r="J41" s="453"/>
      <c r="K41" s="453"/>
      <c r="L41" s="453"/>
      <c r="M41" s="215"/>
    </row>
    <row r="42" spans="1:13" ht="24.95" customHeight="1">
      <c r="A42" s="217" t="s">
        <v>412</v>
      </c>
      <c r="B42" s="652">
        <f>STDEV(G21:G36)</f>
        <v>0.84476593181940551</v>
      </c>
      <c r="C42" s="653"/>
      <c r="D42" s="652">
        <f>STDEV(I21:I36)</f>
        <v>0.44721359550212725</v>
      </c>
      <c r="E42" s="653"/>
    </row>
  </sheetData>
  <autoFilter ref="A4:M42">
    <filterColumn colId="1"/>
    <filterColumn colId="8"/>
  </autoFilter>
  <sortState ref="A23:N36">
    <sortCondition descending="1" ref="H23:H36"/>
    <sortCondition descending="1" ref="G23:G36"/>
  </sortState>
  <mergeCells count="10">
    <mergeCell ref="B41:C41"/>
    <mergeCell ref="B42:C42"/>
    <mergeCell ref="D40:E40"/>
    <mergeCell ref="D41:E41"/>
    <mergeCell ref="D42:E42"/>
    <mergeCell ref="A1:L1"/>
    <mergeCell ref="A3:A4"/>
    <mergeCell ref="C3:C4"/>
    <mergeCell ref="B3:B4"/>
    <mergeCell ref="B40:C40"/>
  </mergeCells>
  <phoneticPr fontId="2" type="noConversion"/>
  <conditionalFormatting sqref="J5:J36">
    <cfRule type="cellIs" dxfId="0" priority="1" operator="lessThan">
      <formula>100</formula>
    </cfRule>
  </conditionalFormatting>
  <printOptions horizontalCentered="1"/>
  <pageMargins left="0.59055118110236227" right="0.59055118110236227" top="0.85" bottom="0.5" header="0.53" footer="0.21"/>
  <pageSetup paperSize="9" scale="6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sqref="A1:R1"/>
    </sheetView>
  </sheetViews>
  <sheetFormatPr defaultRowHeight="20.100000000000001" customHeight="1"/>
  <cols>
    <col min="1" max="1" width="8.375" style="422" customWidth="1"/>
    <col min="2" max="2" width="14.625" style="422" customWidth="1"/>
    <col min="3" max="3" width="11.5" style="422" customWidth="1"/>
    <col min="4" max="4" width="5" style="422" bestFit="1" customWidth="1"/>
    <col min="5" max="5" width="11.625" style="422" customWidth="1"/>
    <col min="6" max="6" width="13.125" style="422" customWidth="1"/>
    <col min="7" max="7" width="7.625" style="422" customWidth="1"/>
    <col min="8" max="8" width="11.625" style="422" customWidth="1"/>
    <col min="9" max="9" width="14.625" style="422" customWidth="1"/>
    <col min="10" max="10" width="13.625" style="422" customWidth="1"/>
    <col min="11" max="11" width="11.625" style="253" customWidth="1"/>
    <col min="12" max="12" width="13.125" style="253" customWidth="1"/>
    <col min="13" max="13" width="7.625" style="422" customWidth="1"/>
    <col min="14" max="14" width="8.5" style="422" bestFit="1" customWidth="1"/>
    <col min="15" max="15" width="14.625" style="422" customWidth="1"/>
    <col min="16" max="16" width="14.125" style="422" customWidth="1"/>
    <col min="17" max="17" width="11.625" style="422" customWidth="1"/>
    <col min="18" max="18" width="13.125" style="422" customWidth="1"/>
    <col min="19" max="16384" width="9" style="422"/>
  </cols>
  <sheetData>
    <row r="1" spans="1:18" ht="32.25" customHeight="1">
      <c r="A1" s="663" t="s">
        <v>428</v>
      </c>
      <c r="B1" s="663"/>
      <c r="C1" s="663"/>
      <c r="D1" s="663"/>
      <c r="E1" s="663"/>
      <c r="F1" s="663"/>
      <c r="G1" s="663"/>
      <c r="H1" s="663"/>
      <c r="I1" s="663"/>
      <c r="J1" s="663"/>
      <c r="K1" s="663"/>
      <c r="L1" s="663"/>
      <c r="M1" s="663"/>
      <c r="N1" s="663"/>
      <c r="O1" s="663"/>
      <c r="P1" s="663"/>
      <c r="Q1" s="663"/>
      <c r="R1" s="663"/>
    </row>
    <row r="3" spans="1:18" s="449" customFormat="1" ht="20.100000000000001" customHeight="1">
      <c r="A3" s="678" t="s">
        <v>377</v>
      </c>
      <c r="B3" s="678"/>
      <c r="C3" s="678"/>
      <c r="D3" s="678"/>
      <c r="E3" s="678"/>
      <c r="F3" s="678"/>
      <c r="H3" s="678" t="s">
        <v>378</v>
      </c>
      <c r="I3" s="678"/>
      <c r="J3" s="678"/>
      <c r="K3" s="678"/>
      <c r="L3" s="678"/>
      <c r="N3" s="678" t="s">
        <v>383</v>
      </c>
      <c r="O3" s="678"/>
      <c r="P3" s="678"/>
      <c r="Q3" s="678"/>
      <c r="R3" s="678"/>
    </row>
    <row r="4" spans="1:18" ht="39" customHeight="1">
      <c r="A4" s="423" t="s">
        <v>329</v>
      </c>
      <c r="B4" s="425" t="s">
        <v>324</v>
      </c>
      <c r="C4" s="424" t="s">
        <v>389</v>
      </c>
      <c r="D4" s="423" t="s">
        <v>325</v>
      </c>
      <c r="E4" s="423" t="s">
        <v>379</v>
      </c>
      <c r="F4" s="423" t="s">
        <v>382</v>
      </c>
      <c r="H4" s="437" t="s">
        <v>338</v>
      </c>
      <c r="I4" s="437" t="s">
        <v>299</v>
      </c>
      <c r="J4" s="448" t="s">
        <v>390</v>
      </c>
      <c r="K4" s="437" t="s">
        <v>380</v>
      </c>
      <c r="L4" s="437" t="s">
        <v>381</v>
      </c>
      <c r="N4" s="437" t="s">
        <v>386</v>
      </c>
      <c r="O4" s="437" t="s">
        <v>384</v>
      </c>
      <c r="P4" s="448" t="s">
        <v>388</v>
      </c>
      <c r="Q4" s="437" t="s">
        <v>379</v>
      </c>
      <c r="R4" s="437" t="s">
        <v>385</v>
      </c>
    </row>
    <row r="5" spans="1:18" ht="20.100000000000001" customHeight="1">
      <c r="A5" s="708" t="s">
        <v>418</v>
      </c>
      <c r="B5" s="492" t="s">
        <v>4</v>
      </c>
      <c r="C5" s="493">
        <v>93.640725399950298</v>
      </c>
      <c r="D5" s="494">
        <f t="shared" ref="D5:D36" si="0">RANK(C5,$C$5:$C$36)</f>
        <v>32</v>
      </c>
      <c r="E5" s="690">
        <f>93.8</f>
        <v>93.8</v>
      </c>
      <c r="F5" s="711" t="s">
        <v>391</v>
      </c>
      <c r="H5" s="734" t="s">
        <v>417</v>
      </c>
      <c r="I5" s="429" t="s">
        <v>5</v>
      </c>
      <c r="J5" s="445">
        <v>94.533772921556547</v>
      </c>
      <c r="K5" s="737">
        <v>94.8</v>
      </c>
      <c r="L5" s="734" t="s">
        <v>424</v>
      </c>
      <c r="N5" s="688" t="s">
        <v>387</v>
      </c>
      <c r="O5" s="246" t="s">
        <v>2</v>
      </c>
      <c r="P5" s="440">
        <f>VLOOKUP($O5,'목표(창구+집배)'!$A$3:$K$37,10,0)</f>
        <v>93.356999999999999</v>
      </c>
      <c r="Q5" s="685">
        <f>ROUNDUP(AVERAGE($P$5:$P$9),1)</f>
        <v>93.399999999999991</v>
      </c>
      <c r="R5" s="675" t="s">
        <v>450</v>
      </c>
    </row>
    <row r="6" spans="1:18" ht="20.100000000000001" customHeight="1">
      <c r="A6" s="709"/>
      <c r="B6" s="492" t="s">
        <v>1</v>
      </c>
      <c r="C6" s="493">
        <v>93.709425718531975</v>
      </c>
      <c r="D6" s="494">
        <f t="shared" si="0"/>
        <v>31</v>
      </c>
      <c r="E6" s="691"/>
      <c r="F6" s="712"/>
      <c r="H6" s="735"/>
      <c r="I6" s="429" t="s">
        <v>2</v>
      </c>
      <c r="J6" s="445">
        <v>93.67125291545436</v>
      </c>
      <c r="K6" s="738"/>
      <c r="L6" s="735"/>
      <c r="N6" s="689"/>
      <c r="O6" s="246" t="s">
        <v>4</v>
      </c>
      <c r="P6" s="440">
        <f>VLOOKUP($O6,'목표(창구+집배)'!$A$3:$K$37,10,0)</f>
        <v>93.356999999999999</v>
      </c>
      <c r="Q6" s="686"/>
      <c r="R6" s="676"/>
    </row>
    <row r="7" spans="1:18" ht="20.100000000000001" customHeight="1">
      <c r="A7" s="709"/>
      <c r="B7" s="492" t="s">
        <v>3</v>
      </c>
      <c r="C7" s="493">
        <v>93.766588509959618</v>
      </c>
      <c r="D7" s="494">
        <f t="shared" si="0"/>
        <v>30</v>
      </c>
      <c r="E7" s="691"/>
      <c r="F7" s="712"/>
      <c r="H7" s="735"/>
      <c r="I7" s="429" t="s">
        <v>11</v>
      </c>
      <c r="J7" s="445">
        <v>95.550355265427072</v>
      </c>
      <c r="K7" s="738"/>
      <c r="L7" s="735"/>
      <c r="N7" s="689"/>
      <c r="O7" s="246" t="s">
        <v>0</v>
      </c>
      <c r="P7" s="440">
        <f>VLOOKUP($O7,'목표(창구+집배)'!$A$3:$K$37,10,0)</f>
        <v>93.356999999999999</v>
      </c>
      <c r="Q7" s="686"/>
      <c r="R7" s="676"/>
    </row>
    <row r="8" spans="1:18" ht="20.100000000000001" customHeight="1">
      <c r="A8" s="709"/>
      <c r="B8" s="492" t="s">
        <v>2</v>
      </c>
      <c r="C8" s="493">
        <v>93.794205913950549</v>
      </c>
      <c r="D8" s="494">
        <f t="shared" si="0"/>
        <v>29</v>
      </c>
      <c r="E8" s="691"/>
      <c r="F8" s="712"/>
      <c r="H8" s="735"/>
      <c r="I8" s="429" t="s">
        <v>8</v>
      </c>
      <c r="J8" s="445">
        <v>94.360875769630184</v>
      </c>
      <c r="K8" s="738"/>
      <c r="L8" s="735"/>
      <c r="N8" s="689"/>
      <c r="O8" s="246" t="s">
        <v>1</v>
      </c>
      <c r="P8" s="440">
        <f>VLOOKUP($O8,'목표(창구+집배)'!$A$3:$K$37,10,0)</f>
        <v>93.356999999999999</v>
      </c>
      <c r="Q8" s="686"/>
      <c r="R8" s="676"/>
    </row>
    <row r="9" spans="1:18" ht="20.100000000000001" customHeight="1">
      <c r="A9" s="710"/>
      <c r="B9" s="492" t="s">
        <v>0</v>
      </c>
      <c r="C9" s="493">
        <v>93.800562090600067</v>
      </c>
      <c r="D9" s="494">
        <f t="shared" si="0"/>
        <v>28</v>
      </c>
      <c r="E9" s="692"/>
      <c r="F9" s="713"/>
      <c r="H9" s="735"/>
      <c r="I9" s="429" t="s">
        <v>12</v>
      </c>
      <c r="J9" s="445">
        <v>94.625616777685963</v>
      </c>
      <c r="K9" s="738"/>
      <c r="L9" s="735"/>
      <c r="N9" s="689"/>
      <c r="O9" s="246" t="s">
        <v>3</v>
      </c>
      <c r="P9" s="440">
        <f>VLOOKUP($O9,'목표(창구+집배)'!$A$3:$K$37,10,0)</f>
        <v>93.356999999999999</v>
      </c>
      <c r="Q9" s="687"/>
      <c r="R9" s="677"/>
    </row>
    <row r="10" spans="1:18" ht="20.100000000000001" customHeight="1">
      <c r="A10" s="714" t="s">
        <v>419</v>
      </c>
      <c r="B10" s="426" t="s">
        <v>8</v>
      </c>
      <c r="C10" s="255">
        <v>94.098092886171756</v>
      </c>
      <c r="D10" s="254">
        <f t="shared" si="0"/>
        <v>27</v>
      </c>
      <c r="E10" s="693">
        <v>94.399999999999991</v>
      </c>
      <c r="F10" s="717" t="s">
        <v>392</v>
      </c>
      <c r="H10" s="735"/>
      <c r="I10" s="429" t="s">
        <v>13</v>
      </c>
      <c r="J10" s="445">
        <v>95.269544505788502</v>
      </c>
      <c r="K10" s="738"/>
      <c r="L10" s="735"/>
      <c r="N10" s="654" t="s">
        <v>448</v>
      </c>
      <c r="O10" s="249" t="s">
        <v>5</v>
      </c>
      <c r="P10" s="441">
        <f>VLOOKUP($O10,'목표(창구+집배)'!$A$3:$K$37,10,0)</f>
        <v>93.653999999999996</v>
      </c>
      <c r="Q10" s="740">
        <f>ROUNDUP(AVERAGE($P$10:$P$15),1)</f>
        <v>93.699999999999989</v>
      </c>
      <c r="R10" s="654" t="s">
        <v>451</v>
      </c>
    </row>
    <row r="11" spans="1:18" ht="20.100000000000001" customHeight="1">
      <c r="A11" s="715"/>
      <c r="B11" s="426" t="s">
        <v>10</v>
      </c>
      <c r="C11" s="255">
        <v>94.238645376677226</v>
      </c>
      <c r="D11" s="254">
        <f t="shared" si="0"/>
        <v>26</v>
      </c>
      <c r="E11" s="694"/>
      <c r="F11" s="718"/>
      <c r="H11" s="735"/>
      <c r="I11" s="429" t="s">
        <v>4</v>
      </c>
      <c r="J11" s="445">
        <v>94.952887766528903</v>
      </c>
      <c r="K11" s="738"/>
      <c r="L11" s="735"/>
      <c r="N11" s="655"/>
      <c r="O11" s="249" t="s">
        <v>12</v>
      </c>
      <c r="P11" s="441">
        <f>VLOOKUP($O11,'목표(창구+집배)'!$A$3:$K$37,10,0)</f>
        <v>93.653999999999996</v>
      </c>
      <c r="Q11" s="741"/>
      <c r="R11" s="655"/>
    </row>
    <row r="12" spans="1:18" ht="20.100000000000001" customHeight="1">
      <c r="A12" s="715"/>
      <c r="B12" s="426" t="s">
        <v>7</v>
      </c>
      <c r="C12" s="255">
        <v>94.286212764173513</v>
      </c>
      <c r="D12" s="254">
        <f t="shared" si="0"/>
        <v>25</v>
      </c>
      <c r="E12" s="694"/>
      <c r="F12" s="718"/>
      <c r="H12" s="735"/>
      <c r="I12" s="429" t="s">
        <v>7</v>
      </c>
      <c r="J12" s="445">
        <v>93.8307460666785</v>
      </c>
      <c r="K12" s="738"/>
      <c r="L12" s="735"/>
      <c r="N12" s="655"/>
      <c r="O12" s="249" t="s">
        <v>8</v>
      </c>
      <c r="P12" s="441">
        <f>VLOOKUP($O12,'목표(창구+집배)'!$A$3:$K$37,10,0)</f>
        <v>93.653999999999996</v>
      </c>
      <c r="Q12" s="741"/>
      <c r="R12" s="655"/>
    </row>
    <row r="13" spans="1:18" ht="20.100000000000001" customHeight="1">
      <c r="A13" s="715"/>
      <c r="B13" s="426" t="s">
        <v>5</v>
      </c>
      <c r="C13" s="255">
        <v>94.303471969539586</v>
      </c>
      <c r="D13" s="254">
        <f t="shared" si="0"/>
        <v>24</v>
      </c>
      <c r="E13" s="694"/>
      <c r="F13" s="718"/>
      <c r="H13" s="735"/>
      <c r="I13" s="429" t="s">
        <v>3</v>
      </c>
      <c r="J13" s="445">
        <v>95.165084918454625</v>
      </c>
      <c r="K13" s="738"/>
      <c r="L13" s="735"/>
      <c r="N13" s="655"/>
      <c r="O13" s="249" t="s">
        <v>7</v>
      </c>
      <c r="P13" s="441">
        <f>VLOOKUP($O13,'목표(창구+집배)'!$A$3:$K$37,10,0)</f>
        <v>93.653999999999996</v>
      </c>
      <c r="Q13" s="741"/>
      <c r="R13" s="655"/>
    </row>
    <row r="14" spans="1:18" ht="20.100000000000001" customHeight="1">
      <c r="A14" s="715"/>
      <c r="B14" s="426" t="s">
        <v>13</v>
      </c>
      <c r="C14" s="255">
        <v>94.474388120844225</v>
      </c>
      <c r="D14" s="254">
        <f t="shared" si="0"/>
        <v>23</v>
      </c>
      <c r="E14" s="694"/>
      <c r="F14" s="718"/>
      <c r="H14" s="735"/>
      <c r="I14" s="429" t="s">
        <v>1</v>
      </c>
      <c r="J14" s="445">
        <v>95.241908822095269</v>
      </c>
      <c r="K14" s="738"/>
      <c r="L14" s="735"/>
      <c r="N14" s="655"/>
      <c r="O14" s="249" t="s">
        <v>13</v>
      </c>
      <c r="P14" s="441">
        <f>VLOOKUP($O14,'목표(창구+집배)'!$A$3:$K$37,10,0)</f>
        <v>93.653999999999996</v>
      </c>
      <c r="Q14" s="741"/>
      <c r="R14" s="655"/>
    </row>
    <row r="15" spans="1:18" ht="20.100000000000001" customHeight="1">
      <c r="A15" s="716"/>
      <c r="B15" s="426" t="s">
        <v>12</v>
      </c>
      <c r="C15" s="255">
        <v>94.4773509647884</v>
      </c>
      <c r="D15" s="254">
        <f t="shared" si="0"/>
        <v>22</v>
      </c>
      <c r="E15" s="695"/>
      <c r="F15" s="719"/>
      <c r="H15" s="736"/>
      <c r="I15" s="429" t="s">
        <v>0</v>
      </c>
      <c r="J15" s="445">
        <v>94.819377602421923</v>
      </c>
      <c r="K15" s="739"/>
      <c r="L15" s="736"/>
      <c r="N15" s="656"/>
      <c r="O15" s="249" t="s">
        <v>11</v>
      </c>
      <c r="P15" s="441">
        <f>VLOOKUP($O15,'목표(창구+집배)'!$A$3:$K$37,10,0)</f>
        <v>93.901499999999999</v>
      </c>
      <c r="Q15" s="742"/>
      <c r="R15" s="656"/>
    </row>
    <row r="16" spans="1:18" ht="20.100000000000001" customHeight="1">
      <c r="A16" s="720" t="s">
        <v>420</v>
      </c>
      <c r="B16" s="427" t="s">
        <v>23</v>
      </c>
      <c r="C16" s="257">
        <v>94.755960899485302</v>
      </c>
      <c r="D16" s="256">
        <f t="shared" si="0"/>
        <v>21</v>
      </c>
      <c r="E16" s="696">
        <v>94.899999999999991</v>
      </c>
      <c r="F16" s="723" t="s">
        <v>393</v>
      </c>
      <c r="H16" s="679" t="s">
        <v>416</v>
      </c>
      <c r="I16" s="430" t="s">
        <v>23</v>
      </c>
      <c r="J16" s="446">
        <v>95.027331678750286</v>
      </c>
      <c r="K16" s="681">
        <v>95.6</v>
      </c>
      <c r="L16" s="683" t="s">
        <v>423</v>
      </c>
      <c r="N16" s="657" t="s">
        <v>449</v>
      </c>
      <c r="O16" s="247" t="s">
        <v>10</v>
      </c>
      <c r="P16" s="442">
        <f>VLOOKUP($O16,'목표(창구+집배)'!$A$3:$K$37,10,0)</f>
        <v>94.05</v>
      </c>
      <c r="Q16" s="660">
        <f>ROUNDUP(AVERAGE($P$15:$P$22),1)</f>
        <v>94.3</v>
      </c>
      <c r="R16" s="657" t="s">
        <v>452</v>
      </c>
    </row>
    <row r="17" spans="1:18" ht="20.100000000000001" customHeight="1">
      <c r="A17" s="721"/>
      <c r="B17" s="427" t="s">
        <v>6</v>
      </c>
      <c r="C17" s="257">
        <v>94.766844842380806</v>
      </c>
      <c r="D17" s="256">
        <f t="shared" si="0"/>
        <v>20</v>
      </c>
      <c r="E17" s="697"/>
      <c r="F17" s="724"/>
      <c r="H17" s="680"/>
      <c r="I17" s="430" t="s">
        <v>9</v>
      </c>
      <c r="J17" s="446">
        <v>95.905423433972643</v>
      </c>
      <c r="K17" s="682"/>
      <c r="L17" s="684"/>
      <c r="N17" s="658"/>
      <c r="O17" s="247" t="s">
        <v>6</v>
      </c>
      <c r="P17" s="442">
        <f>VLOOKUP($O17,'목표(창구+집배)'!$A$3:$K$37,10,0)</f>
        <v>94.297499999999999</v>
      </c>
      <c r="Q17" s="661"/>
      <c r="R17" s="658"/>
    </row>
    <row r="18" spans="1:18" ht="20.100000000000001" customHeight="1">
      <c r="A18" s="721"/>
      <c r="B18" s="427" t="s">
        <v>9</v>
      </c>
      <c r="C18" s="257">
        <v>94.804970790829529</v>
      </c>
      <c r="D18" s="256">
        <f t="shared" si="0"/>
        <v>19</v>
      </c>
      <c r="E18" s="697"/>
      <c r="F18" s="724"/>
      <c r="H18" s="680"/>
      <c r="I18" s="430" t="s">
        <v>10</v>
      </c>
      <c r="J18" s="446">
        <v>95.996192042626674</v>
      </c>
      <c r="K18" s="682"/>
      <c r="L18" s="684"/>
      <c r="N18" s="658"/>
      <c r="O18" s="247" t="s">
        <v>9</v>
      </c>
      <c r="P18" s="442">
        <f>VLOOKUP($O18,'목표(창구+집배)'!$A$3:$K$37,10,0)</f>
        <v>94.297499999999999</v>
      </c>
      <c r="Q18" s="661"/>
      <c r="R18" s="658"/>
    </row>
    <row r="19" spans="1:18" ht="20.100000000000001" customHeight="1">
      <c r="A19" s="721"/>
      <c r="B19" s="427" t="s">
        <v>22</v>
      </c>
      <c r="C19" s="257">
        <v>94.829963326305943</v>
      </c>
      <c r="D19" s="256">
        <f t="shared" si="0"/>
        <v>18</v>
      </c>
      <c r="E19" s="697"/>
      <c r="F19" s="724"/>
      <c r="H19" s="680"/>
      <c r="I19" s="430" t="s">
        <v>6</v>
      </c>
      <c r="J19" s="446">
        <v>95.628169131432543</v>
      </c>
      <c r="K19" s="682"/>
      <c r="L19" s="684"/>
      <c r="N19" s="658"/>
      <c r="O19" s="247" t="s">
        <v>23</v>
      </c>
      <c r="P19" s="442">
        <f>VLOOKUP($O19,'목표(창구+집배)'!$A$3:$K$37,10,0)</f>
        <v>94.297499999999999</v>
      </c>
      <c r="Q19" s="661"/>
      <c r="R19" s="658"/>
    </row>
    <row r="20" spans="1:18" ht="20.100000000000001" customHeight="1">
      <c r="A20" s="721"/>
      <c r="B20" s="427" t="s">
        <v>11</v>
      </c>
      <c r="C20" s="257">
        <v>94.920409632845406</v>
      </c>
      <c r="D20" s="256">
        <f t="shared" si="0"/>
        <v>17</v>
      </c>
      <c r="E20" s="697"/>
      <c r="F20" s="724"/>
      <c r="H20" s="680"/>
      <c r="I20" s="430" t="s">
        <v>17</v>
      </c>
      <c r="J20" s="446">
        <v>95.216187221146896</v>
      </c>
      <c r="K20" s="682"/>
      <c r="L20" s="684"/>
      <c r="N20" s="658"/>
      <c r="O20" s="247" t="s">
        <v>17</v>
      </c>
      <c r="P20" s="442">
        <f>VLOOKUP($O20,'목표(창구+집배)'!$A$3:$K$37,10,0)</f>
        <v>94.297499999999999</v>
      </c>
      <c r="Q20" s="661"/>
      <c r="R20" s="658"/>
    </row>
    <row r="21" spans="1:18" ht="20.100000000000001" customHeight="1">
      <c r="A21" s="721"/>
      <c r="B21" s="427" t="s">
        <v>17</v>
      </c>
      <c r="C21" s="257">
        <v>94.969717925264632</v>
      </c>
      <c r="D21" s="256">
        <f t="shared" si="0"/>
        <v>16</v>
      </c>
      <c r="E21" s="697"/>
      <c r="F21" s="724"/>
      <c r="H21" s="680"/>
      <c r="I21" s="430" t="s">
        <v>19</v>
      </c>
      <c r="J21" s="446">
        <v>94.679768052873612</v>
      </c>
      <c r="K21" s="682"/>
      <c r="L21" s="684"/>
      <c r="N21" s="658"/>
      <c r="O21" s="247" t="s">
        <v>19</v>
      </c>
      <c r="P21" s="442">
        <f>VLOOKUP($O21,'목표(창구+집배)'!$A$3:$K$37,10,0)</f>
        <v>94.297499999999999</v>
      </c>
      <c r="Q21" s="661"/>
      <c r="R21" s="658"/>
    </row>
    <row r="22" spans="1:18" ht="20.100000000000001" customHeight="1">
      <c r="A22" s="722"/>
      <c r="B22" s="427" t="s">
        <v>19</v>
      </c>
      <c r="C22" s="257">
        <v>95.203288894454218</v>
      </c>
      <c r="D22" s="256">
        <f t="shared" si="0"/>
        <v>15</v>
      </c>
      <c r="E22" s="698"/>
      <c r="F22" s="725"/>
      <c r="H22" s="680"/>
      <c r="I22" s="430" t="s">
        <v>22</v>
      </c>
      <c r="J22" s="446">
        <v>96.707897240955873</v>
      </c>
      <c r="K22" s="682"/>
      <c r="L22" s="684"/>
      <c r="N22" s="659"/>
      <c r="O22" s="247" t="s">
        <v>22</v>
      </c>
      <c r="P22" s="442">
        <f>VLOOKUP($O22,'목표(창구+집배)'!$A$3:$K$37,10,0)</f>
        <v>94.297499999999999</v>
      </c>
      <c r="Q22" s="662"/>
      <c r="R22" s="659"/>
    </row>
    <row r="23" spans="1:18" ht="20.100000000000001" customHeight="1">
      <c r="A23" s="702" t="s">
        <v>421</v>
      </c>
      <c r="B23" s="428" t="s">
        <v>25</v>
      </c>
      <c r="C23" s="259">
        <v>95.284949017237921</v>
      </c>
      <c r="D23" s="258">
        <f t="shared" si="0"/>
        <v>14</v>
      </c>
      <c r="E23" s="699">
        <v>95.6</v>
      </c>
      <c r="F23" s="705" t="s">
        <v>394</v>
      </c>
      <c r="H23" s="680"/>
      <c r="I23" s="430" t="s">
        <v>27</v>
      </c>
      <c r="J23" s="446">
        <v>94.769884497072979</v>
      </c>
      <c r="K23" s="682"/>
      <c r="L23" s="684"/>
      <c r="N23" s="732" t="s">
        <v>431</v>
      </c>
      <c r="O23" s="438" t="s">
        <v>27</v>
      </c>
      <c r="P23" s="443">
        <f>VLOOKUP($O23,'목표(창구+집배)'!$A$3:$K$37,10,0)</f>
        <v>94.643999999999991</v>
      </c>
      <c r="Q23" s="729">
        <f>ROUNDUP(AVERAGE(P23:P24),1)</f>
        <v>94.699999999999989</v>
      </c>
      <c r="R23" s="732" t="s">
        <v>453</v>
      </c>
    </row>
    <row r="24" spans="1:18" ht="20.100000000000001" customHeight="1">
      <c r="A24" s="703"/>
      <c r="B24" s="428" t="s">
        <v>27</v>
      </c>
      <c r="C24" s="259">
        <v>95.389087398854144</v>
      </c>
      <c r="D24" s="258">
        <f t="shared" si="0"/>
        <v>13</v>
      </c>
      <c r="E24" s="700"/>
      <c r="F24" s="706"/>
      <c r="H24" s="680"/>
      <c r="I24" s="430" t="s">
        <v>29</v>
      </c>
      <c r="J24" s="446">
        <v>95.771388301859673</v>
      </c>
      <c r="K24" s="682"/>
      <c r="L24" s="684"/>
      <c r="N24" s="733"/>
      <c r="O24" s="438" t="s">
        <v>29</v>
      </c>
      <c r="P24" s="443">
        <f>VLOOKUP($O24,'목표(창구+집배)'!$A$3:$K$37,10,0)</f>
        <v>94.643999999999991</v>
      </c>
      <c r="Q24" s="730"/>
      <c r="R24" s="733"/>
    </row>
    <row r="25" spans="1:18" ht="20.100000000000001" customHeight="1">
      <c r="A25" s="703"/>
      <c r="B25" s="428" t="s">
        <v>30</v>
      </c>
      <c r="C25" s="259">
        <v>95.446644460884656</v>
      </c>
      <c r="D25" s="258">
        <f t="shared" si="0"/>
        <v>12</v>
      </c>
      <c r="E25" s="700"/>
      <c r="F25" s="706"/>
      <c r="H25" s="726" t="s">
        <v>415</v>
      </c>
      <c r="I25" s="431" t="s">
        <v>15</v>
      </c>
      <c r="J25" s="447">
        <v>96.991855094450756</v>
      </c>
      <c r="K25" s="747">
        <v>96.6</v>
      </c>
      <c r="L25" s="748" t="s">
        <v>455</v>
      </c>
      <c r="N25" s="744" t="s">
        <v>440</v>
      </c>
      <c r="O25" s="439" t="s">
        <v>15</v>
      </c>
      <c r="P25" s="444">
        <f>VLOOKUP($O25,'목표(창구+집배)'!$A$3:$K$37,10,0)</f>
        <v>95.138999999999996</v>
      </c>
      <c r="Q25" s="731">
        <f>ROUNDUP(AVERAGE($P$25:$P$36),1)</f>
        <v>95.199999999999989</v>
      </c>
      <c r="R25" s="743" t="s">
        <v>454</v>
      </c>
    </row>
    <row r="26" spans="1:18" ht="20.100000000000001" customHeight="1">
      <c r="A26" s="703"/>
      <c r="B26" s="428" t="s">
        <v>24</v>
      </c>
      <c r="C26" s="259">
        <v>95.550178383359935</v>
      </c>
      <c r="D26" s="258">
        <f t="shared" si="0"/>
        <v>11</v>
      </c>
      <c r="E26" s="700"/>
      <c r="F26" s="706"/>
      <c r="H26" s="727"/>
      <c r="I26" s="431" t="s">
        <v>24</v>
      </c>
      <c r="J26" s="447">
        <v>96.106738619925252</v>
      </c>
      <c r="K26" s="747"/>
      <c r="L26" s="748"/>
      <c r="N26" s="745"/>
      <c r="O26" s="439" t="s">
        <v>14</v>
      </c>
      <c r="P26" s="444">
        <f>VLOOKUP($O26,'목표(창구+집배)'!$A$3:$K$37,10,0)</f>
        <v>95.138999999999996</v>
      </c>
      <c r="Q26" s="731"/>
      <c r="R26" s="743"/>
    </row>
    <row r="27" spans="1:18" ht="20.100000000000001" customHeight="1">
      <c r="A27" s="703"/>
      <c r="B27" s="428" t="s">
        <v>29</v>
      </c>
      <c r="C27" s="259">
        <v>95.569376848934851</v>
      </c>
      <c r="D27" s="258">
        <f t="shared" si="0"/>
        <v>10</v>
      </c>
      <c r="E27" s="700"/>
      <c r="F27" s="706"/>
      <c r="H27" s="727"/>
      <c r="I27" s="431" t="s">
        <v>26</v>
      </c>
      <c r="J27" s="447">
        <v>96.142437933638547</v>
      </c>
      <c r="K27" s="747"/>
      <c r="L27" s="748"/>
      <c r="N27" s="745"/>
      <c r="O27" s="439" t="s">
        <v>16</v>
      </c>
      <c r="P27" s="444">
        <f>VLOOKUP($O27,'목표(창구+집배)'!$A$3:$K$37,10,0)</f>
        <v>95.138999999999996</v>
      </c>
      <c r="Q27" s="731"/>
      <c r="R27" s="743"/>
    </row>
    <row r="28" spans="1:18" ht="20.100000000000001" customHeight="1">
      <c r="A28" s="703"/>
      <c r="B28" s="428" t="s">
        <v>28</v>
      </c>
      <c r="C28" s="259">
        <v>95.588352306757599</v>
      </c>
      <c r="D28" s="258">
        <f t="shared" si="0"/>
        <v>9</v>
      </c>
      <c r="E28" s="700"/>
      <c r="F28" s="706"/>
      <c r="H28" s="727"/>
      <c r="I28" s="431" t="s">
        <v>14</v>
      </c>
      <c r="J28" s="447">
        <v>95.831801568485702</v>
      </c>
      <c r="K28" s="747"/>
      <c r="L28" s="748"/>
      <c r="N28" s="745"/>
      <c r="O28" s="439" t="s">
        <v>18</v>
      </c>
      <c r="P28" s="444">
        <f>VLOOKUP($O28,'목표(창구+집배)'!$A$3:$K$37,10,0)</f>
        <v>95.138999999999996</v>
      </c>
      <c r="Q28" s="731"/>
      <c r="R28" s="743"/>
    </row>
    <row r="29" spans="1:18" ht="20.100000000000001" customHeight="1">
      <c r="A29" s="703"/>
      <c r="B29" s="428" t="s">
        <v>15</v>
      </c>
      <c r="C29" s="259">
        <v>95.621190005940548</v>
      </c>
      <c r="D29" s="258">
        <f t="shared" si="0"/>
        <v>8</v>
      </c>
      <c r="E29" s="700"/>
      <c r="F29" s="706"/>
      <c r="H29" s="727"/>
      <c r="I29" s="431" t="s">
        <v>16</v>
      </c>
      <c r="J29" s="447">
        <v>97.343137725196868</v>
      </c>
      <c r="K29" s="747"/>
      <c r="L29" s="748"/>
      <c r="N29" s="745"/>
      <c r="O29" s="439" t="s">
        <v>20</v>
      </c>
      <c r="P29" s="444">
        <f>VLOOKUP($O29,'목표(창구+집배)'!$A$3:$K$37,10,0)</f>
        <v>95.138999999999996</v>
      </c>
      <c r="Q29" s="731"/>
      <c r="R29" s="743"/>
    </row>
    <row r="30" spans="1:18" ht="20.100000000000001" customHeight="1">
      <c r="A30" s="703"/>
      <c r="B30" s="428" t="s">
        <v>16</v>
      </c>
      <c r="C30" s="259">
        <v>95.636937300172818</v>
      </c>
      <c r="D30" s="258">
        <f t="shared" si="0"/>
        <v>7</v>
      </c>
      <c r="E30" s="700"/>
      <c r="F30" s="706"/>
      <c r="H30" s="727"/>
      <c r="I30" s="431" t="s">
        <v>30</v>
      </c>
      <c r="J30" s="447">
        <v>96.768716654203445</v>
      </c>
      <c r="K30" s="747"/>
      <c r="L30" s="748"/>
      <c r="N30" s="745"/>
      <c r="O30" s="439" t="s">
        <v>21</v>
      </c>
      <c r="P30" s="444">
        <f>VLOOKUP($O30,'목표(창구+집배)'!$A$3:$K$37,10,0)</f>
        <v>95.138999999999996</v>
      </c>
      <c r="Q30" s="731"/>
      <c r="R30" s="743"/>
    </row>
    <row r="31" spans="1:18" ht="20.100000000000001" customHeight="1">
      <c r="A31" s="703"/>
      <c r="B31" s="428" t="s">
        <v>18</v>
      </c>
      <c r="C31" s="259">
        <v>95.653527876134973</v>
      </c>
      <c r="D31" s="258">
        <f t="shared" si="0"/>
        <v>6</v>
      </c>
      <c r="E31" s="700"/>
      <c r="F31" s="706"/>
      <c r="H31" s="727"/>
      <c r="I31" s="431" t="s">
        <v>18</v>
      </c>
      <c r="J31" s="447">
        <v>96.20797292472021</v>
      </c>
      <c r="K31" s="747"/>
      <c r="L31" s="748"/>
      <c r="N31" s="745"/>
      <c r="O31" s="439" t="s">
        <v>24</v>
      </c>
      <c r="P31" s="444">
        <f>VLOOKUP($O31,'목표(창구+집배)'!$A$3:$K$37,10,0)</f>
        <v>95.138999999999996</v>
      </c>
      <c r="Q31" s="731"/>
      <c r="R31" s="743"/>
    </row>
    <row r="32" spans="1:18" ht="20.100000000000001" customHeight="1">
      <c r="A32" s="703"/>
      <c r="B32" s="428" t="s">
        <v>31</v>
      </c>
      <c r="C32" s="259">
        <v>95.654830643462915</v>
      </c>
      <c r="D32" s="258">
        <f t="shared" si="0"/>
        <v>5</v>
      </c>
      <c r="E32" s="700"/>
      <c r="F32" s="706"/>
      <c r="H32" s="727"/>
      <c r="I32" s="431" t="s">
        <v>28</v>
      </c>
      <c r="J32" s="447">
        <v>95.254889101754372</v>
      </c>
      <c r="K32" s="747"/>
      <c r="L32" s="748"/>
      <c r="N32" s="745"/>
      <c r="O32" s="439" t="s">
        <v>25</v>
      </c>
      <c r="P32" s="444">
        <f>VLOOKUP($O32,'목표(창구+집배)'!$A$3:$K$37,10,0)</f>
        <v>95.138999999999996</v>
      </c>
      <c r="Q32" s="731"/>
      <c r="R32" s="743"/>
    </row>
    <row r="33" spans="1:18" ht="20.100000000000001" customHeight="1">
      <c r="A33" s="703"/>
      <c r="B33" s="428" t="s">
        <v>14</v>
      </c>
      <c r="C33" s="259">
        <v>95.676614456270855</v>
      </c>
      <c r="D33" s="258">
        <f t="shared" si="0"/>
        <v>4</v>
      </c>
      <c r="E33" s="700"/>
      <c r="F33" s="706"/>
      <c r="H33" s="727"/>
      <c r="I33" s="431" t="s">
        <v>20</v>
      </c>
      <c r="J33" s="447">
        <v>97.074119065701694</v>
      </c>
      <c r="K33" s="747"/>
      <c r="L33" s="748"/>
      <c r="N33" s="745"/>
      <c r="O33" s="439" t="s">
        <v>26</v>
      </c>
      <c r="P33" s="444">
        <f>VLOOKUP($O33,'목표(창구+집배)'!$A$3:$K$37,10,0)</f>
        <v>95.138999999999996</v>
      </c>
      <c r="Q33" s="731"/>
      <c r="R33" s="743"/>
    </row>
    <row r="34" spans="1:18" ht="20.100000000000001" customHeight="1">
      <c r="A34" s="703"/>
      <c r="B34" s="428" t="s">
        <v>21</v>
      </c>
      <c r="C34" s="259">
        <v>95.681015065800239</v>
      </c>
      <c r="D34" s="258">
        <f t="shared" si="0"/>
        <v>3</v>
      </c>
      <c r="E34" s="700"/>
      <c r="F34" s="706"/>
      <c r="H34" s="727"/>
      <c r="I34" s="431" t="s">
        <v>21</v>
      </c>
      <c r="J34" s="447">
        <v>97.509752829449653</v>
      </c>
      <c r="K34" s="747"/>
      <c r="L34" s="748"/>
      <c r="N34" s="745"/>
      <c r="O34" s="439" t="s">
        <v>28</v>
      </c>
      <c r="P34" s="444">
        <f>VLOOKUP($O34,'목표(창구+집배)'!$A$3:$K$37,10,0)</f>
        <v>95.138999999999996</v>
      </c>
      <c r="Q34" s="731"/>
      <c r="R34" s="743"/>
    </row>
    <row r="35" spans="1:18" ht="20.100000000000001" customHeight="1">
      <c r="A35" s="703"/>
      <c r="B35" s="428" t="s">
        <v>26</v>
      </c>
      <c r="C35" s="259">
        <v>95.685444303150348</v>
      </c>
      <c r="D35" s="258">
        <f t="shared" si="0"/>
        <v>2</v>
      </c>
      <c r="E35" s="700"/>
      <c r="F35" s="706"/>
      <c r="H35" s="727"/>
      <c r="I35" s="431" t="s">
        <v>25</v>
      </c>
      <c r="J35" s="447">
        <v>96.608922652420773</v>
      </c>
      <c r="K35" s="747"/>
      <c r="L35" s="748"/>
      <c r="N35" s="745"/>
      <c r="O35" s="439" t="s">
        <v>30</v>
      </c>
      <c r="P35" s="444">
        <f>VLOOKUP($O35,'목표(창구+집배)'!$A$3:$K$37,10,0)</f>
        <v>95.138999999999996</v>
      </c>
      <c r="Q35" s="731"/>
      <c r="R35" s="743"/>
    </row>
    <row r="36" spans="1:18" ht="20.100000000000001" customHeight="1">
      <c r="A36" s="704"/>
      <c r="B36" s="428" t="s">
        <v>20</v>
      </c>
      <c r="C36" s="259">
        <v>95.712139554415785</v>
      </c>
      <c r="D36" s="258">
        <f t="shared" si="0"/>
        <v>1</v>
      </c>
      <c r="E36" s="701"/>
      <c r="F36" s="707"/>
      <c r="H36" s="728"/>
      <c r="I36" s="431" t="s">
        <v>31</v>
      </c>
      <c r="J36" s="447">
        <v>96.218277771805276</v>
      </c>
      <c r="K36" s="747"/>
      <c r="L36" s="748"/>
      <c r="N36" s="746"/>
      <c r="O36" s="439" t="s">
        <v>31</v>
      </c>
      <c r="P36" s="444">
        <f>VLOOKUP($O36,'목표(창구+집배)'!$A$3:$K$37,10,0)</f>
        <v>95.138999999999996</v>
      </c>
      <c r="Q36" s="731"/>
      <c r="R36" s="743"/>
    </row>
    <row r="38" spans="1:18" ht="20.100000000000001" customHeight="1">
      <c r="A38" s="664" t="s">
        <v>425</v>
      </c>
      <c r="B38" s="664"/>
      <c r="C38" s="664"/>
      <c r="D38" s="664"/>
      <c r="E38" s="664"/>
      <c r="F38" s="664"/>
      <c r="H38" s="664" t="s">
        <v>426</v>
      </c>
      <c r="I38" s="665"/>
      <c r="J38" s="665"/>
      <c r="K38" s="665"/>
      <c r="L38" s="665"/>
      <c r="N38" s="666" t="s">
        <v>427</v>
      </c>
      <c r="O38" s="667"/>
      <c r="P38" s="667"/>
      <c r="Q38" s="667"/>
      <c r="R38" s="668"/>
    </row>
    <row r="39" spans="1:18" ht="20.100000000000001" customHeight="1">
      <c r="A39" s="664"/>
      <c r="B39" s="664"/>
      <c r="C39" s="664"/>
      <c r="D39" s="664"/>
      <c r="E39" s="664"/>
      <c r="F39" s="664"/>
      <c r="H39" s="665"/>
      <c r="I39" s="665"/>
      <c r="J39" s="665"/>
      <c r="K39" s="665"/>
      <c r="L39" s="665"/>
      <c r="N39" s="669"/>
      <c r="O39" s="670"/>
      <c r="P39" s="670"/>
      <c r="Q39" s="670"/>
      <c r="R39" s="671"/>
    </row>
    <row r="40" spans="1:18" ht="20.100000000000001" customHeight="1">
      <c r="A40" s="664"/>
      <c r="B40" s="664"/>
      <c r="C40" s="664"/>
      <c r="D40" s="664"/>
      <c r="E40" s="664"/>
      <c r="F40" s="664"/>
      <c r="H40" s="665"/>
      <c r="I40" s="665"/>
      <c r="J40" s="665"/>
      <c r="K40" s="665"/>
      <c r="L40" s="665"/>
      <c r="N40" s="669"/>
      <c r="O40" s="670"/>
      <c r="P40" s="670"/>
      <c r="Q40" s="670"/>
      <c r="R40" s="671"/>
    </row>
    <row r="41" spans="1:18" ht="20.100000000000001" customHeight="1">
      <c r="A41" s="664"/>
      <c r="B41" s="664"/>
      <c r="C41" s="664"/>
      <c r="D41" s="664"/>
      <c r="E41" s="664"/>
      <c r="F41" s="664"/>
      <c r="H41" s="665"/>
      <c r="I41" s="665"/>
      <c r="J41" s="665"/>
      <c r="K41" s="665"/>
      <c r="L41" s="665"/>
      <c r="N41" s="672"/>
      <c r="O41" s="673"/>
      <c r="P41" s="673"/>
      <c r="Q41" s="673"/>
      <c r="R41" s="674"/>
    </row>
  </sheetData>
  <sortState ref="B5:D36">
    <sortCondition ref="C5:C36"/>
  </sortState>
  <mergeCells count="43">
    <mergeCell ref="R23:R24"/>
    <mergeCell ref="R25:R36"/>
    <mergeCell ref="N25:N36"/>
    <mergeCell ref="K25:K36"/>
    <mergeCell ref="L25:L36"/>
    <mergeCell ref="H25:H36"/>
    <mergeCell ref="Q23:Q24"/>
    <mergeCell ref="Q25:Q36"/>
    <mergeCell ref="N23:N24"/>
    <mergeCell ref="H5:H15"/>
    <mergeCell ref="L5:L15"/>
    <mergeCell ref="K5:K15"/>
    <mergeCell ref="N10:N15"/>
    <mergeCell ref="Q10:Q15"/>
    <mergeCell ref="A23:A36"/>
    <mergeCell ref="F23:F36"/>
    <mergeCell ref="A5:A9"/>
    <mergeCell ref="F5:F9"/>
    <mergeCell ref="A10:A15"/>
    <mergeCell ref="F10:F15"/>
    <mergeCell ref="A16:A22"/>
    <mergeCell ref="F16:F22"/>
    <mergeCell ref="A38:F41"/>
    <mergeCell ref="H38:L41"/>
    <mergeCell ref="N38:R41"/>
    <mergeCell ref="R5:R9"/>
    <mergeCell ref="H3:L3"/>
    <mergeCell ref="H16:H24"/>
    <mergeCell ref="K16:K24"/>
    <mergeCell ref="L16:L24"/>
    <mergeCell ref="Q5:Q9"/>
    <mergeCell ref="N3:R3"/>
    <mergeCell ref="N5:N9"/>
    <mergeCell ref="A3:F3"/>
    <mergeCell ref="E5:E9"/>
    <mergeCell ref="E10:E15"/>
    <mergeCell ref="E16:E22"/>
    <mergeCell ref="E23:E36"/>
    <mergeCell ref="R10:R15"/>
    <mergeCell ref="R16:R22"/>
    <mergeCell ref="Q16:Q22"/>
    <mergeCell ref="N16:N22"/>
    <mergeCell ref="A1:R1"/>
  </mergeCells>
  <phoneticPr fontId="2" type="noConversion"/>
  <printOptions horizontalCentered="1"/>
  <pageMargins left="0.59055118110236227" right="0.59055118110236227" top="0.62992125984251968" bottom="0.47244094488188981" header="0.31496062992125984" footer="0.31496062992125984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H70"/>
  <sheetViews>
    <sheetView zoomScaleNormal="100" workbookViewId="0">
      <selection activeCell="AC21" sqref="AC21"/>
    </sheetView>
  </sheetViews>
  <sheetFormatPr defaultRowHeight="20.100000000000001" customHeight="1"/>
  <cols>
    <col min="1" max="1" width="9.125" style="190" customWidth="1"/>
    <col min="2" max="2" width="7.625" style="190" bestFit="1" customWidth="1"/>
    <col min="3" max="27" width="7.625" style="190" customWidth="1"/>
    <col min="28" max="29" width="7.625" style="191" bestFit="1" customWidth="1"/>
    <col min="30" max="30" width="8.5" style="191" bestFit="1" customWidth="1"/>
    <col min="31" max="34" width="7.625" style="191" bestFit="1" customWidth="1"/>
  </cols>
  <sheetData>
    <row r="1" spans="1:34" s="536" customFormat="1" ht="20.100000000000001" customHeight="1">
      <c r="A1" s="535">
        <v>1</v>
      </c>
      <c r="B1" s="535">
        <v>2</v>
      </c>
      <c r="C1" s="535">
        <v>3</v>
      </c>
      <c r="D1" s="535">
        <v>4</v>
      </c>
      <c r="E1" s="535">
        <v>5</v>
      </c>
      <c r="F1" s="535">
        <v>6</v>
      </c>
      <c r="G1" s="535">
        <v>7</v>
      </c>
      <c r="H1" s="535">
        <v>8</v>
      </c>
      <c r="I1" s="535">
        <v>9</v>
      </c>
      <c r="J1" s="535">
        <v>10</v>
      </c>
      <c r="K1" s="535">
        <v>11</v>
      </c>
      <c r="L1" s="535">
        <v>12</v>
      </c>
      <c r="M1" s="535">
        <v>13</v>
      </c>
      <c r="N1" s="535">
        <v>14</v>
      </c>
      <c r="O1" s="535">
        <v>15</v>
      </c>
      <c r="P1" s="535">
        <v>16</v>
      </c>
      <c r="Q1" s="535">
        <v>17</v>
      </c>
      <c r="R1" s="535">
        <v>18</v>
      </c>
      <c r="S1" s="535">
        <v>19</v>
      </c>
      <c r="T1" s="535">
        <v>20</v>
      </c>
      <c r="U1" s="535">
        <v>21</v>
      </c>
      <c r="V1" s="535">
        <v>22</v>
      </c>
      <c r="W1" s="535">
        <v>23</v>
      </c>
      <c r="X1" s="535">
        <v>24</v>
      </c>
      <c r="Y1" s="535">
        <v>25</v>
      </c>
      <c r="Z1" s="535">
        <v>26</v>
      </c>
      <c r="AA1" s="535">
        <v>27</v>
      </c>
      <c r="AB1" s="535">
        <v>28</v>
      </c>
      <c r="AC1" s="535">
        <v>29</v>
      </c>
      <c r="AD1" s="535">
        <v>30</v>
      </c>
      <c r="AE1" s="535">
        <v>31</v>
      </c>
      <c r="AF1" s="535">
        <v>32</v>
      </c>
      <c r="AG1" s="535">
        <v>33</v>
      </c>
      <c r="AH1" s="535">
        <v>34</v>
      </c>
    </row>
    <row r="2" spans="1:34" ht="20.100000000000001" customHeight="1">
      <c r="A2" s="749" t="s">
        <v>283</v>
      </c>
      <c r="B2" s="749" t="s">
        <v>284</v>
      </c>
      <c r="C2" s="750" t="s">
        <v>296</v>
      </c>
      <c r="D2" s="751"/>
      <c r="E2" s="751"/>
      <c r="F2" s="751"/>
      <c r="G2" s="751"/>
      <c r="H2" s="751"/>
      <c r="I2" s="751"/>
      <c r="J2" s="751"/>
      <c r="K2" s="752"/>
      <c r="L2" s="750" t="s">
        <v>295</v>
      </c>
      <c r="M2" s="751"/>
      <c r="N2" s="751"/>
      <c r="O2" s="751"/>
      <c r="P2" s="751"/>
      <c r="Q2" s="751"/>
      <c r="R2" s="751"/>
      <c r="S2" s="751"/>
      <c r="T2" s="752"/>
      <c r="U2" s="750" t="s">
        <v>294</v>
      </c>
      <c r="V2" s="751"/>
      <c r="W2" s="751"/>
      <c r="X2" s="751"/>
      <c r="Y2" s="751"/>
      <c r="Z2" s="751"/>
      <c r="AA2" s="752"/>
      <c r="AB2" s="750">
        <v>2012</v>
      </c>
      <c r="AC2" s="751"/>
      <c r="AD2" s="751"/>
      <c r="AE2" s="751"/>
      <c r="AF2" s="751"/>
      <c r="AG2" s="751"/>
      <c r="AH2" s="752"/>
    </row>
    <row r="3" spans="1:34" ht="20.100000000000001" customHeight="1">
      <c r="A3" s="749"/>
      <c r="B3" s="749"/>
      <c r="C3" s="198" t="s">
        <v>278</v>
      </c>
      <c r="D3" s="199" t="s">
        <v>285</v>
      </c>
      <c r="E3" s="199" t="s">
        <v>298</v>
      </c>
      <c r="F3" s="199" t="s">
        <v>286</v>
      </c>
      <c r="G3" s="199" t="s">
        <v>287</v>
      </c>
      <c r="H3" s="199" t="s">
        <v>288</v>
      </c>
      <c r="I3" s="199" t="s">
        <v>289</v>
      </c>
      <c r="J3" s="199" t="s">
        <v>290</v>
      </c>
      <c r="K3" s="201" t="s">
        <v>297</v>
      </c>
      <c r="L3" s="198" t="s">
        <v>278</v>
      </c>
      <c r="M3" s="199" t="s">
        <v>285</v>
      </c>
      <c r="N3" s="199" t="s">
        <v>298</v>
      </c>
      <c r="O3" s="199" t="s">
        <v>286</v>
      </c>
      <c r="P3" s="199" t="s">
        <v>287</v>
      </c>
      <c r="Q3" s="199" t="s">
        <v>288</v>
      </c>
      <c r="R3" s="199" t="s">
        <v>289</v>
      </c>
      <c r="S3" s="199" t="s">
        <v>290</v>
      </c>
      <c r="T3" s="201" t="s">
        <v>297</v>
      </c>
      <c r="U3" s="198" t="s">
        <v>278</v>
      </c>
      <c r="V3" s="199" t="s">
        <v>285</v>
      </c>
      <c r="W3" s="199" t="s">
        <v>286</v>
      </c>
      <c r="X3" s="199" t="s">
        <v>287</v>
      </c>
      <c r="Y3" s="199" t="s">
        <v>288</v>
      </c>
      <c r="Z3" s="199" t="s">
        <v>289</v>
      </c>
      <c r="AA3" s="200" t="s">
        <v>290</v>
      </c>
      <c r="AB3" s="198" t="s">
        <v>278</v>
      </c>
      <c r="AC3" s="199" t="s">
        <v>285</v>
      </c>
      <c r="AD3" s="199" t="s">
        <v>286</v>
      </c>
      <c r="AE3" s="199" t="s">
        <v>287</v>
      </c>
      <c r="AF3" s="199" t="s">
        <v>288</v>
      </c>
      <c r="AG3" s="199" t="s">
        <v>289</v>
      </c>
      <c r="AH3" s="200" t="s">
        <v>290</v>
      </c>
    </row>
    <row r="4" spans="1:34" ht="20.100000000000001" customHeight="1">
      <c r="A4" s="188" t="s">
        <v>0</v>
      </c>
      <c r="B4" s="188" t="s">
        <v>291</v>
      </c>
      <c r="C4" s="212">
        <f>VLOOKUP($A4,'2015'!$C$111:$U$142,19,0)</f>
        <v>93.311679207099658</v>
      </c>
      <c r="D4" s="202">
        <f>VLOOKUP($A4,'2015'!$C$111:$U$142,6,0)</f>
        <v>95.638326321983982</v>
      </c>
      <c r="E4" s="202">
        <f>VLOOKUP($A4,'2015'!$C$111:$U$142,7,0)</f>
        <v>95.461396128404189</v>
      </c>
      <c r="F4" s="202">
        <f>VLOOKUP($A4,'2015'!$C$111:$U$142,8,0)</f>
        <v>94.819162205583311</v>
      </c>
      <c r="G4" s="202">
        <f>VLOOKUP($A4,'2015'!$C$111:$U$142,9,0)</f>
        <v>93.913095628466493</v>
      </c>
      <c r="H4" s="202">
        <f>VLOOKUP($A4,'2015'!$C$111:$U$142,10,0)</f>
        <v>97.239673913043475</v>
      </c>
      <c r="I4" s="202">
        <f>VLOOKUP($A4,'2015'!$C$111:$U$142,11,0)</f>
        <v>94.3</v>
      </c>
      <c r="J4" s="202">
        <f>VLOOKUP($A4,'2015'!$C$111:$U$142,12,0)</f>
        <v>96.103630051225068</v>
      </c>
      <c r="K4" s="214">
        <f>VLOOKUP($A4,'2015'!$C$111:$U$142,13,0)</f>
        <v>99</v>
      </c>
      <c r="L4" s="212">
        <f>VLOOKUP($A4,'2014'!$B$3:$P$38,15,0)</f>
        <v>90.788829850398841</v>
      </c>
      <c r="M4" s="202">
        <f>VLOOKUP($A4,'2014'!$B$3:$P$38,6,0)</f>
        <v>93.867506763830505</v>
      </c>
      <c r="N4" s="202">
        <f>VLOOKUP($A4,'2014'!$B$3:$P$38,7,0)</f>
        <v>93.577638698768951</v>
      </c>
      <c r="O4" s="202">
        <f>VLOOKUP($A4,'2014'!$B$3:$P$38,8,0)</f>
        <v>92.556868558567189</v>
      </c>
      <c r="P4" s="202">
        <f>VLOOKUP($A4,'2014'!$B$3:$P$38,9,0)</f>
        <v>92.741877644495389</v>
      </c>
      <c r="Q4" s="202">
        <f>VLOOKUP($A4,'2014'!$B$3:$P$38,10,0)</f>
        <v>91.156817345500016</v>
      </c>
      <c r="R4" s="202">
        <f>VLOOKUP($A4,'2014'!$B$3:$P$38,11,0)</f>
        <v>95.179845942105246</v>
      </c>
      <c r="S4" s="202">
        <f>VLOOKUP($A4,'2014'!$B$3:$P$38,12,0)</f>
        <v>94.598408838970713</v>
      </c>
      <c r="T4" s="202">
        <f>VLOOKUP($A4,'2014'!$B$3:$P$38,13,0)</f>
        <v>99.375</v>
      </c>
      <c r="U4" s="212">
        <f>VLOOKUP($A4,'2013'!$B$117:$N$152,13,0)</f>
        <v>91.33</v>
      </c>
      <c r="V4" s="202">
        <f>VLOOKUP($A4,'2013'!$B$117:$N$152,6,0)</f>
        <v>93.101786578484166</v>
      </c>
      <c r="W4" s="202">
        <f>VLOOKUP($A4,'2013'!$B$117:$N$152,7,0)</f>
        <v>94.263373531377468</v>
      </c>
      <c r="X4" s="202">
        <f>VLOOKUP($A4,'2013'!$B$117:$N$152,8,0)</f>
        <v>93.405113878684617</v>
      </c>
      <c r="Y4" s="202">
        <f>VLOOKUP($A4,'2013'!$B$117:$N$152,9,0)</f>
        <v>96.018099212195139</v>
      </c>
      <c r="Z4" s="202">
        <f>VLOOKUP($A4,'2013'!$B$117:$N$152,10,0)</f>
        <v>94.542300680263153</v>
      </c>
      <c r="AA4" s="203">
        <f>VLOOKUP($A4,'2013'!$B$117:$N$152,11,0)</f>
        <v>91.940199625590864</v>
      </c>
      <c r="AB4" s="192">
        <f>VLOOKUP($A4,'2012'!$B$117:$N$153,13,0)</f>
        <v>89.63</v>
      </c>
      <c r="AC4" s="193">
        <f>VLOOKUP($A4,'2012'!$B$117:$N$153,6,0)</f>
        <v>92.239629125922022</v>
      </c>
      <c r="AD4" s="193">
        <f>VLOOKUP($A4,'2012'!$B$117:$N$153,7,0)</f>
        <v>88.732208814371845</v>
      </c>
      <c r="AE4" s="193">
        <f>VLOOKUP($A4,'2012'!$B$117:$N$153,8,0)</f>
        <v>87.571940118768566</v>
      </c>
      <c r="AF4" s="193">
        <f>VLOOKUP($A4,'2012'!$B$117:$N$153,9,0)</f>
        <v>90.525046458341791</v>
      </c>
      <c r="AG4" s="193">
        <f>VLOOKUP($A4,'2012'!$B$117:$N$153,10,0)</f>
        <v>88.825825496470557</v>
      </c>
      <c r="AH4" s="194">
        <f>VLOOKUP($A4,'2012'!$B$117:$N$153,11,0)</f>
        <v>95.747049437472214</v>
      </c>
    </row>
    <row r="5" spans="1:34" ht="20.100000000000001" customHeight="1">
      <c r="A5" s="188" t="s">
        <v>1</v>
      </c>
      <c r="B5" s="188" t="s">
        <v>291</v>
      </c>
      <c r="C5" s="212">
        <f>VLOOKUP($A5,'2015'!$C$111:$U$142,19,0)</f>
        <v>92.858965354330678</v>
      </c>
      <c r="D5" s="202">
        <f>VLOOKUP($A5,'2015'!$C$111:$U$142,6,0)</f>
        <v>95.30045259795348</v>
      </c>
      <c r="E5" s="202">
        <f>VLOOKUP($A5,'2015'!$C$111:$U$142,7,0)</f>
        <v>95.079423787319456</v>
      </c>
      <c r="F5" s="202">
        <f>VLOOKUP($A5,'2015'!$C$111:$U$142,8,0)</f>
        <v>93.616139240506314</v>
      </c>
      <c r="G5" s="202">
        <f>VLOOKUP($A5,'2015'!$C$111:$U$142,9,0)</f>
        <v>95.536290322580641</v>
      </c>
      <c r="H5" s="202">
        <f>VLOOKUP($A5,'2015'!$C$111:$U$142,10,0)</f>
        <v>90.758695652173898</v>
      </c>
      <c r="I5" s="202">
        <f>VLOOKUP($A5,'2015'!$C$111:$U$142,11,0)</f>
        <v>91.135526315789463</v>
      </c>
      <c r="J5" s="202">
        <f>VLOOKUP($A5,'2015'!$C$111:$U$142,12,0)</f>
        <v>96.54270833413257</v>
      </c>
      <c r="K5" s="214">
        <f>VLOOKUP($A5,'2015'!$C$111:$U$142,13,0)</f>
        <v>99.5</v>
      </c>
      <c r="L5" s="212">
        <f>VLOOKUP($A5,'2014'!$B$3:$P$38,15,0)</f>
        <v>90.15594374508936</v>
      </c>
      <c r="M5" s="202">
        <f>VLOOKUP($A5,'2014'!$B$3:$P$38,6,0)</f>
        <v>93.953117583961912</v>
      </c>
      <c r="N5" s="202">
        <f>VLOOKUP($A5,'2014'!$B$3:$P$38,7,0)</f>
        <v>93.700650088380968</v>
      </c>
      <c r="O5" s="202">
        <f>VLOOKUP($A5,'2014'!$B$3:$P$38,8,0)</f>
        <v>93.074679746949556</v>
      </c>
      <c r="P5" s="202">
        <f>VLOOKUP($A5,'2014'!$B$3:$P$38,9,0)</f>
        <v>92.950590627975075</v>
      </c>
      <c r="Q5" s="202">
        <f>VLOOKUP($A5,'2014'!$B$3:$P$38,10,0)</f>
        <v>91.938758477551062</v>
      </c>
      <c r="R5" s="202">
        <f>VLOOKUP($A5,'2014'!$B$3:$P$38,11,0)</f>
        <v>96.459519084004057</v>
      </c>
      <c r="S5" s="202">
        <f>VLOOKUP($A5,'2014'!$B$3:$P$38,12,0)</f>
        <v>94.32662042981238</v>
      </c>
      <c r="T5" s="202">
        <f>VLOOKUP($A5,'2014'!$B$3:$P$38,13,0)</f>
        <v>98.75</v>
      </c>
      <c r="U5" s="212">
        <f>VLOOKUP($A5,'2013'!$B$117:$N$152,13,0)</f>
        <v>90.362254643966011</v>
      </c>
      <c r="V5" s="202">
        <f>VLOOKUP($A5,'2013'!$B$117:$N$152,6,0)</f>
        <v>93.058603004082329</v>
      </c>
      <c r="W5" s="202">
        <f>VLOOKUP($A5,'2013'!$B$117:$N$152,7,0)</f>
        <v>92.754363377738287</v>
      </c>
      <c r="X5" s="202">
        <f>VLOOKUP($A5,'2013'!$B$117:$N$152,8,0)</f>
        <v>93.691361895123904</v>
      </c>
      <c r="Y5" s="202">
        <f>VLOOKUP($A5,'2013'!$B$117:$N$152,9,0)</f>
        <v>92.209590128289491</v>
      </c>
      <c r="Z5" s="202">
        <f>VLOOKUP($A5,'2013'!$B$117:$N$152,10,0)</f>
        <v>89.997284384210502</v>
      </c>
      <c r="AA5" s="203">
        <f>VLOOKUP($A5,'2013'!$B$117:$N$152,11,0)</f>
        <v>93.362842630426371</v>
      </c>
      <c r="AB5" s="192">
        <f>VLOOKUP($A5,'2012'!$B$117:$N$153,13,0)</f>
        <v>89.06</v>
      </c>
      <c r="AC5" s="193">
        <f>VLOOKUP($A5,'2012'!$B$117:$N$153,6,0)</f>
        <v>89.82203281174867</v>
      </c>
      <c r="AD5" s="193">
        <f>VLOOKUP($A5,'2012'!$B$117:$N$153,7,0)</f>
        <v>86.810536386205683</v>
      </c>
      <c r="AE5" s="193">
        <f>VLOOKUP($A5,'2012'!$B$117:$N$153,8,0)</f>
        <v>87.698090707821663</v>
      </c>
      <c r="AF5" s="193">
        <f>VLOOKUP($A5,'2012'!$B$117:$N$153,9,0)</f>
        <v>85.292919120042356</v>
      </c>
      <c r="AG5" s="193">
        <f>VLOOKUP($A5,'2012'!$B$117:$N$153,10,0)</f>
        <v>87.078856657266641</v>
      </c>
      <c r="AH5" s="194">
        <f>VLOOKUP($A5,'2012'!$B$117:$N$153,11,0)</f>
        <v>92.833529237291657</v>
      </c>
    </row>
    <row r="6" spans="1:34" ht="20.100000000000001" customHeight="1">
      <c r="A6" s="188" t="s">
        <v>2</v>
      </c>
      <c r="B6" s="188" t="s">
        <v>291</v>
      </c>
      <c r="C6" s="212">
        <f>VLOOKUP($A6,'2015'!$C$111:$U$142,19,0)</f>
        <v>93.534345876808629</v>
      </c>
      <c r="D6" s="202">
        <f>VLOOKUP($A6,'2015'!$C$111:$U$142,6,0)</f>
        <v>93.924277269474544</v>
      </c>
      <c r="E6" s="202">
        <f>VLOOKUP($A6,'2015'!$C$111:$U$142,7,0)</f>
        <v>93.630818178394264</v>
      </c>
      <c r="F6" s="202">
        <f>VLOOKUP($A6,'2015'!$C$111:$U$142,8,0)</f>
        <v>93.608385093167669</v>
      </c>
      <c r="G6" s="202">
        <f>VLOOKUP($A6,'2015'!$C$111:$U$142,9,0)</f>
        <v>93.321910112359532</v>
      </c>
      <c r="H6" s="202">
        <f>VLOOKUP($A6,'2015'!$C$111:$U$142,10,0)</f>
        <v>94.352941176470566</v>
      </c>
      <c r="I6" s="202">
        <f>VLOOKUP($A6,'2015'!$C$111:$U$142,11,0)</f>
        <v>93.014285714285705</v>
      </c>
      <c r="J6" s="202">
        <f>VLOOKUP($A6,'2015'!$C$111:$U$142,12,0)</f>
        <v>93.653251263620874</v>
      </c>
      <c r="K6" s="214">
        <f>VLOOKUP($A6,'2015'!$C$111:$U$142,13,0)</f>
        <v>99.5</v>
      </c>
      <c r="L6" s="212">
        <f>VLOOKUP($A6,'2014'!$B$3:$P$38,15,0)</f>
        <v>91.13402830997498</v>
      </c>
      <c r="M6" s="202">
        <f>VLOOKUP($A6,'2014'!$B$3:$P$38,6,0)</f>
        <v>93.667259686310899</v>
      </c>
      <c r="N6" s="202">
        <f>VLOOKUP($A6,'2014'!$B$3:$P$38,7,0)</f>
        <v>93.333957564537798</v>
      </c>
      <c r="O6" s="202">
        <f>VLOOKUP($A6,'2014'!$B$3:$P$38,8,0)</f>
        <v>94.104840081659404</v>
      </c>
      <c r="P6" s="202">
        <f>VLOOKUP($A6,'2014'!$B$3:$P$38,9,0)</f>
        <v>94.514707349817684</v>
      </c>
      <c r="Q6" s="202">
        <f>VLOOKUP($A6,'2014'!$B$3:$P$38,10,0)</f>
        <v>92.45955459072583</v>
      </c>
      <c r="R6" s="202">
        <f>VLOOKUP($A6,'2014'!$B$3:$P$38,11,0)</f>
        <v>96.953949367391289</v>
      </c>
      <c r="S6" s="202">
        <f>VLOOKUP($A6,'2014'!$B$3:$P$38,12,0)</f>
        <v>92.563075047416191</v>
      </c>
      <c r="T6" s="202">
        <f>VLOOKUP($A6,'2014'!$B$3:$P$38,13,0)</f>
        <v>100</v>
      </c>
      <c r="U6" s="212">
        <f>VLOOKUP($A6,'2013'!$B$117:$N$152,13,0)</f>
        <v>90.286740688259897</v>
      </c>
      <c r="V6" s="202">
        <f>VLOOKUP($A6,'2013'!$B$117:$N$152,6,0)</f>
        <v>95.233832746573995</v>
      </c>
      <c r="W6" s="202">
        <f>VLOOKUP($A6,'2013'!$B$117:$N$152,7,0)</f>
        <v>95.08914164605271</v>
      </c>
      <c r="X6" s="202">
        <f>VLOOKUP($A6,'2013'!$B$117:$N$152,8,0)</f>
        <v>95.6010383058466</v>
      </c>
      <c r="Y6" s="202">
        <f>VLOOKUP($A6,'2013'!$B$117:$N$152,9,0)</f>
        <v>93.033674136352062</v>
      </c>
      <c r="Z6" s="202">
        <f>VLOOKUP($A6,'2013'!$B$117:$N$152,10,0)</f>
        <v>97.798952884782608</v>
      </c>
      <c r="AA6" s="203">
        <f>VLOOKUP($A6,'2013'!$B$117:$N$152,11,0)</f>
        <v>95.378523847095295</v>
      </c>
      <c r="AB6" s="192">
        <f>VLOOKUP($A6,'2012'!$B$117:$N$153,13,0)</f>
        <v>88.9</v>
      </c>
      <c r="AC6" s="193">
        <f>VLOOKUP($A6,'2012'!$B$117:$N$153,6,0)</f>
        <v>90.658580168265928</v>
      </c>
      <c r="AD6" s="193">
        <f>VLOOKUP($A6,'2012'!$B$117:$N$153,7,0)</f>
        <v>87.835306940990208</v>
      </c>
      <c r="AE6" s="193">
        <f>VLOOKUP($A6,'2012'!$B$117:$N$153,8,0)</f>
        <v>88.999335135841591</v>
      </c>
      <c r="AF6" s="193">
        <f>VLOOKUP($A6,'2012'!$B$117:$N$153,9,0)</f>
        <v>87.791099084724593</v>
      </c>
      <c r="AG6" s="193">
        <f>VLOOKUP($A6,'2012'!$B$117:$N$153,10,0)</f>
        <v>84.867606055414683</v>
      </c>
      <c r="AH6" s="194">
        <f>VLOOKUP($A6,'2012'!$B$117:$N$153,11,0)</f>
        <v>93.481853395541648</v>
      </c>
    </row>
    <row r="7" spans="1:34" ht="20.100000000000001" customHeight="1">
      <c r="A7" s="188" t="s">
        <v>3</v>
      </c>
      <c r="B7" s="188" t="s">
        <v>291</v>
      </c>
      <c r="C7" s="212">
        <f>VLOOKUP($A7,'2015'!$C$111:$U$142,19,0)</f>
        <v>92.778211667058173</v>
      </c>
      <c r="D7" s="202">
        <f>VLOOKUP($A7,'2015'!$C$111:$U$142,6,0)</f>
        <v>95.621019441037745</v>
      </c>
      <c r="E7" s="202">
        <f>VLOOKUP($A7,'2015'!$C$111:$U$142,7,0)</f>
        <v>95.516862569513421</v>
      </c>
      <c r="F7" s="202">
        <f>VLOOKUP($A7,'2015'!$C$111:$U$142,8,0)</f>
        <v>94.527127916331438</v>
      </c>
      <c r="G7" s="202">
        <f>VLOOKUP($A7,'2015'!$C$111:$U$142,9,0)</f>
        <v>94.63666666666667</v>
      </c>
      <c r="H7" s="202">
        <f>VLOOKUP($A7,'2015'!$C$111:$U$142,10,0)</f>
        <v>95.411335861778355</v>
      </c>
      <c r="I7" s="202">
        <f>VLOOKUP($A7,'2015'!$C$111:$U$142,11,0)</f>
        <v>91.825000000000003</v>
      </c>
      <c r="J7" s="202">
        <f>VLOOKUP($A7,'2015'!$C$111:$U$142,12,0)</f>
        <v>96.50659722269539</v>
      </c>
      <c r="K7" s="214">
        <f>VLOOKUP($A7,'2015'!$C$111:$U$142,13,0)</f>
        <v>97.6</v>
      </c>
      <c r="L7" s="212">
        <f>VLOOKUP($A7,'2014'!$B$3:$P$38,15,0)</f>
        <v>91.307663278038433</v>
      </c>
      <c r="M7" s="202">
        <f>VLOOKUP($A7,'2014'!$B$3:$P$38,6,0)</f>
        <v>92.778211667058173</v>
      </c>
      <c r="N7" s="202">
        <f>VLOOKUP($A7,'2014'!$B$3:$P$38,7,0)</f>
        <v>92.39811754427177</v>
      </c>
      <c r="O7" s="202">
        <f>VLOOKUP($A7,'2014'!$B$3:$P$38,8,0)</f>
        <v>93.960514567686417</v>
      </c>
      <c r="P7" s="202">
        <f>VLOOKUP($A7,'2014'!$B$3:$P$38,9,0)</f>
        <v>93.918668437054578</v>
      </c>
      <c r="Q7" s="202">
        <f>VLOOKUP($A7,'2014'!$B$3:$P$38,10,0)</f>
        <v>93.431291050555558</v>
      </c>
      <c r="R7" s="202">
        <f>VLOOKUP($A7,'2014'!$B$3:$P$38,11,0)</f>
        <v>95.525351004166652</v>
      </c>
      <c r="S7" s="202">
        <f>VLOOKUP($A7,'2014'!$B$3:$P$38,12,0)</f>
        <v>90.835720520857137</v>
      </c>
      <c r="T7" s="202">
        <f>VLOOKUP($A7,'2014'!$B$3:$P$38,13,0)</f>
        <v>100</v>
      </c>
      <c r="U7" s="212">
        <f>VLOOKUP($A7,'2013'!$B$117:$N$152,13,0)</f>
        <v>90.329388731058074</v>
      </c>
      <c r="V7" s="202">
        <f>VLOOKUP($A7,'2013'!$B$117:$N$152,6,0)</f>
        <v>95.641632421854837</v>
      </c>
      <c r="W7" s="202">
        <f>VLOOKUP($A7,'2013'!$B$117:$N$152,7,0)</f>
        <v>92.97791408946081</v>
      </c>
      <c r="X7" s="202">
        <f>VLOOKUP($A7,'2013'!$B$117:$N$152,8,0)</f>
        <v>93.636861350542802</v>
      </c>
      <c r="Y7" s="202">
        <f>VLOOKUP($A7,'2013'!$B$117:$N$152,9,0)</f>
        <v>91.509896722916693</v>
      </c>
      <c r="Z7" s="202">
        <f>VLOOKUP($A7,'2013'!$B$117:$N$152,10,0)</f>
        <v>92.838861604166652</v>
      </c>
      <c r="AA7" s="203">
        <f>VLOOKUP($A7,'2013'!$B$117:$N$152,11,0)</f>
        <v>98.305350754248863</v>
      </c>
      <c r="AB7" s="192">
        <f>VLOOKUP($A7,'2012'!$B$117:$N$153,13,0)</f>
        <v>88.77</v>
      </c>
      <c r="AC7" s="193">
        <f>VLOOKUP($A7,'2012'!$B$117:$N$153,6,0)</f>
        <v>91.333209690365038</v>
      </c>
      <c r="AD7" s="193">
        <f>VLOOKUP($A7,'2012'!$B$117:$N$153,7,0)</f>
        <v>88.845513431757851</v>
      </c>
      <c r="AE7" s="193">
        <f>VLOOKUP($A7,'2012'!$B$117:$N$153,8,0)</f>
        <v>90.691574405865225</v>
      </c>
      <c r="AF7" s="193">
        <f>VLOOKUP($A7,'2012'!$B$117:$N$153,9,0)</f>
        <v>89.446308420604439</v>
      </c>
      <c r="AG7" s="193">
        <f>VLOOKUP($A7,'2012'!$B$117:$N$153,10,0)</f>
        <v>83.193232070833318</v>
      </c>
      <c r="AH7" s="194">
        <f>VLOOKUP($A7,'2012'!$B$117:$N$153,11,0)</f>
        <v>93.820905948972211</v>
      </c>
    </row>
    <row r="8" spans="1:34" ht="20.100000000000001" customHeight="1">
      <c r="A8" s="188" t="s">
        <v>4</v>
      </c>
      <c r="B8" s="188" t="s">
        <v>291</v>
      </c>
      <c r="C8" s="212">
        <f>VLOOKUP($A8,'2015'!$C$111:$U$142,19,0)</f>
        <v>92.076079277817001</v>
      </c>
      <c r="D8" s="202">
        <f>VLOOKUP($A8,'2015'!$C$111:$U$142,6,0)</f>
        <v>95.519869022300057</v>
      </c>
      <c r="E8" s="202">
        <f>VLOOKUP($A8,'2015'!$C$111:$U$142,7,0)</f>
        <v>95.284072655052697</v>
      </c>
      <c r="F8" s="202">
        <f>VLOOKUP($A8,'2015'!$C$111:$U$142,8,0)</f>
        <v>93.620039249083604</v>
      </c>
      <c r="G8" s="202">
        <f>VLOOKUP($A8,'2015'!$C$111:$U$142,9,0)</f>
        <v>93.722992700729918</v>
      </c>
      <c r="H8" s="202">
        <f>VLOOKUP($A8,'2015'!$C$111:$U$142,10,0)</f>
        <v>93.116748385553677</v>
      </c>
      <c r="I8" s="202">
        <f>VLOOKUP($A8,'2015'!$C$111:$U$142,11,0)</f>
        <v>94.446428571428569</v>
      </c>
      <c r="J8" s="202">
        <f>VLOOKUP($A8,'2015'!$C$111:$U$142,12,0)</f>
        <v>96.94810606102179</v>
      </c>
      <c r="K8" s="214">
        <f>VLOOKUP($A8,'2015'!$C$111:$U$142,13,0)</f>
        <v>100</v>
      </c>
      <c r="L8" s="212">
        <f>VLOOKUP($A8,'2014'!$B$3:$P$38,15,0)</f>
        <v>89.649463427958821</v>
      </c>
      <c r="M8" s="202">
        <f>VLOOKUP($A8,'2014'!$B$3:$P$38,6,0)</f>
        <v>92.880807137507659</v>
      </c>
      <c r="N8" s="202">
        <f>VLOOKUP($A8,'2014'!$B$3:$P$38,7,0)</f>
        <v>92.874533828955435</v>
      </c>
      <c r="O8" s="202">
        <f>VLOOKUP($A8,'2014'!$B$3:$P$38,8,0)</f>
        <v>92.226064445878606</v>
      </c>
      <c r="P8" s="202">
        <f>VLOOKUP($A8,'2014'!$B$3:$P$38,9,0)</f>
        <v>93.528042945925804</v>
      </c>
      <c r="Q8" s="202">
        <f>VLOOKUP($A8,'2014'!$B$3:$P$38,10,0)</f>
        <v>89.287093451901427</v>
      </c>
      <c r="R8" s="202">
        <f>VLOOKUP($A8,'2014'!$B$3:$P$38,11,0)</f>
        <v>94.06994858463338</v>
      </c>
      <c r="S8" s="202">
        <f>VLOOKUP($A8,'2014'!$B$3:$P$38,12,0)</f>
        <v>93.523003212032279</v>
      </c>
      <c r="T8" s="202">
        <f>VLOOKUP($A8,'2014'!$B$3:$P$38,13,0)</f>
        <v>93</v>
      </c>
      <c r="U8" s="212">
        <f>VLOOKUP($A8,'2013'!$B$117:$N$152,13,0)</f>
        <v>90.504807229883184</v>
      </c>
      <c r="V8" s="202">
        <f>VLOOKUP($A8,'2013'!$B$117:$N$152,6,0)</f>
        <v>91.865997321796925</v>
      </c>
      <c r="W8" s="202">
        <f>VLOOKUP($A8,'2013'!$B$117:$N$152,7,0)</f>
        <v>91.622325781552263</v>
      </c>
      <c r="X8" s="202">
        <f>VLOOKUP($A8,'2013'!$B$117:$N$152,8,0)</f>
        <v>90.001846855811991</v>
      </c>
      <c r="Y8" s="202">
        <f>VLOOKUP($A8,'2013'!$B$117:$N$152,9,0)</f>
        <v>94.424972118534541</v>
      </c>
      <c r="Z8" s="202">
        <f>VLOOKUP($A8,'2013'!$B$117:$N$152,10,0)</f>
        <v>92.05192014137927</v>
      </c>
      <c r="AA8" s="203">
        <f>VLOOKUP($A8,'2013'!$B$117:$N$152,11,0)</f>
        <v>92.109668862041602</v>
      </c>
      <c r="AB8" s="192">
        <f>VLOOKUP($A8,'2012'!$B$117:$N$153,13,0)</f>
        <v>88.91</v>
      </c>
      <c r="AC8" s="193">
        <f>VLOOKUP($A8,'2012'!$B$117:$N$153,6,0)</f>
        <v>90.373378545315859</v>
      </c>
      <c r="AD8" s="193">
        <f>VLOOKUP($A8,'2012'!$B$117:$N$153,7,0)</f>
        <v>87.336323053624781</v>
      </c>
      <c r="AE8" s="193">
        <f>VLOOKUP($A8,'2012'!$B$117:$N$153,8,0)</f>
        <v>89.882641907387992</v>
      </c>
      <c r="AF8" s="193">
        <f>VLOOKUP($A8,'2012'!$B$117:$N$153,9,0)</f>
        <v>85.676685365733064</v>
      </c>
      <c r="AG8" s="193">
        <f>VLOOKUP($A8,'2012'!$B$117:$N$153,10,0)</f>
        <v>83.502953288597539</v>
      </c>
      <c r="AH8" s="194">
        <f>VLOOKUP($A8,'2012'!$B$117:$N$153,11,0)</f>
        <v>93.410434037006951</v>
      </c>
    </row>
    <row r="9" spans="1:34" ht="20.100000000000001" customHeight="1">
      <c r="A9" s="189" t="s">
        <v>5</v>
      </c>
      <c r="B9" s="189" t="s">
        <v>291</v>
      </c>
      <c r="C9" s="212">
        <f>VLOOKUP($A9,'2015'!$C$111:$U$142,19,0)</f>
        <v>92.531359623709847</v>
      </c>
      <c r="D9" s="202">
        <f>VLOOKUP($A9,'2015'!$C$111:$U$142,6,0)</f>
        <v>94.906361573991731</v>
      </c>
      <c r="E9" s="202">
        <f>VLOOKUP($A9,'2015'!$C$111:$U$142,7,0)</f>
        <v>94.680380604201815</v>
      </c>
      <c r="F9" s="202">
        <f>VLOOKUP($A9,'2015'!$C$111:$U$142,8,0)</f>
        <v>93.871051611653016</v>
      </c>
      <c r="G9" s="202">
        <f>VLOOKUP($A9,'2015'!$C$111:$U$142,9,0)</f>
        <v>93.446753246753246</v>
      </c>
      <c r="H9" s="202">
        <f>VLOOKUP($A9,'2015'!$C$111:$U$142,10,0)</f>
        <v>93.978787399915717</v>
      </c>
      <c r="I9" s="202">
        <f>VLOOKUP($A9,'2015'!$C$111:$U$142,11,0)</f>
        <v>95.434722222222234</v>
      </c>
      <c r="J9" s="202">
        <f>VLOOKUP($A9,'2015'!$C$111:$U$142,12,0)</f>
        <v>95.489709596750615</v>
      </c>
      <c r="K9" s="214">
        <f>VLOOKUP($A9,'2015'!$C$111:$U$142,13,0)</f>
        <v>99.2</v>
      </c>
      <c r="L9" s="212">
        <f>VLOOKUP($A9,'2014'!$B$3:$P$38,15,0)</f>
        <v>89.687290989558903</v>
      </c>
      <c r="M9" s="202">
        <f>VLOOKUP($A9,'2014'!$B$3:$P$38,6,0)</f>
        <v>93.101754951717467</v>
      </c>
      <c r="N9" s="202">
        <f>VLOOKUP($A9,'2014'!$B$3:$P$38,7,0)</f>
        <v>92.850531528123653</v>
      </c>
      <c r="O9" s="202">
        <f>VLOOKUP($A9,'2014'!$B$3:$P$38,8,0)</f>
        <v>91.719228574818729</v>
      </c>
      <c r="P9" s="202">
        <f>VLOOKUP($A9,'2014'!$B$3:$P$38,9,0)</f>
        <v>92.525765498701347</v>
      </c>
      <c r="Q9" s="202">
        <f>VLOOKUP($A9,'2014'!$B$3:$P$38,10,0)</f>
        <v>90.235951179069772</v>
      </c>
      <c r="R9" s="202">
        <f>VLOOKUP($A9,'2014'!$B$3:$P$38,11,0)</f>
        <v>91.81242773472222</v>
      </c>
      <c r="S9" s="202">
        <f>VLOOKUP($A9,'2014'!$B$3:$P$38,12,0)</f>
        <v>93.981834481428578</v>
      </c>
      <c r="T9" s="202">
        <f>VLOOKUP($A9,'2014'!$B$3:$P$38,13,0)</f>
        <v>97.875</v>
      </c>
      <c r="U9" s="212">
        <f>VLOOKUP($A9,'2013'!$B$117:$N$152,13,0)</f>
        <v>90.407786289891348</v>
      </c>
      <c r="V9" s="202">
        <f>VLOOKUP($A9,'2013'!$B$117:$N$152,6,0)</f>
        <v>92.28822640861415</v>
      </c>
      <c r="W9" s="202">
        <f>VLOOKUP($A9,'2013'!$B$117:$N$152,7,0)</f>
        <v>91.604613923464953</v>
      </c>
      <c r="X9" s="202">
        <f>VLOOKUP($A9,'2013'!$B$117:$N$152,8,0)</f>
        <v>90.472292763888873</v>
      </c>
      <c r="Y9" s="202">
        <f>VLOOKUP($A9,'2013'!$B$117:$N$152,9,0)</f>
        <v>92.258970311029415</v>
      </c>
      <c r="Z9" s="202">
        <f>VLOOKUP($A9,'2013'!$B$117:$N$152,10,0)</f>
        <v>94.492150151470582</v>
      </c>
      <c r="AA9" s="203">
        <f>VLOOKUP($A9,'2013'!$B$117:$N$152,11,0)</f>
        <v>92.971838893763334</v>
      </c>
      <c r="AB9" s="195">
        <f>VLOOKUP($A9,'2012'!$B$117:$N$153,13,0)</f>
        <v>87.87</v>
      </c>
      <c r="AC9" s="196">
        <f>VLOOKUP($A9,'2012'!$B$117:$N$153,6,0)</f>
        <v>91.467410739255541</v>
      </c>
      <c r="AD9" s="196">
        <f>VLOOKUP($A9,'2012'!$B$117:$N$153,7,0)</f>
        <v>87.201835657684725</v>
      </c>
      <c r="AE9" s="196">
        <f>VLOOKUP($A9,'2012'!$B$117:$N$153,8,0)</f>
        <v>87.32855999317654</v>
      </c>
      <c r="AF9" s="196">
        <f>VLOOKUP($A9,'2012'!$B$117:$N$153,9,0)</f>
        <v>89.12289985187499</v>
      </c>
      <c r="AG9" s="196">
        <f>VLOOKUP($A9,'2012'!$B$117:$N$153,10,0)</f>
        <v>83.630797292548451</v>
      </c>
      <c r="AH9" s="197">
        <f>VLOOKUP($A9,'2012'!$B$117:$N$153,11,0)</f>
        <v>95.732985820826372</v>
      </c>
    </row>
    <row r="10" spans="1:34" ht="20.100000000000001" customHeight="1">
      <c r="A10" s="189" t="s">
        <v>12</v>
      </c>
      <c r="B10" s="189" t="s">
        <v>280</v>
      </c>
      <c r="C10" s="212">
        <f>VLOOKUP($A10,'2015'!$C$111:$U$142,19,0)</f>
        <v>93.127835276033281</v>
      </c>
      <c r="D10" s="202">
        <f>VLOOKUP($A10,'2015'!$C$111:$U$142,6,0)</f>
        <v>95.426797100156037</v>
      </c>
      <c r="E10" s="202">
        <f>VLOOKUP($A10,'2015'!$C$111:$U$142,7,0)</f>
        <v>95.254523263322142</v>
      </c>
      <c r="F10" s="202">
        <f>VLOOKUP($A10,'2015'!$C$111:$U$142,8,0)</f>
        <v>94.777070515449836</v>
      </c>
      <c r="G10" s="202">
        <f>VLOOKUP($A10,'2015'!$C$111:$U$142,9,0)</f>
        <v>94.53356481481481</v>
      </c>
      <c r="H10" s="202">
        <f>VLOOKUP($A10,'2015'!$C$111:$U$142,10,0)</f>
        <v>95.703181818181818</v>
      </c>
      <c r="I10" s="202">
        <f>VLOOKUP($A10,'2015'!$C$111:$U$142,11,0)</f>
        <v>93.603855944893681</v>
      </c>
      <c r="J10" s="202">
        <f>VLOOKUP($A10,'2015'!$C$111:$U$142,12,0)</f>
        <v>95.731976011194419</v>
      </c>
      <c r="K10" s="214">
        <f>VLOOKUP($A10,'2015'!$C$111:$U$142,13,0)</f>
        <v>98.7</v>
      </c>
      <c r="L10" s="212">
        <f>VLOOKUP($A10,'2014'!$B$3:$P$38,15,0)</f>
        <v>90.845337945829911</v>
      </c>
      <c r="M10" s="202">
        <f>VLOOKUP($A10,'2014'!$B$3:$P$38,6,0)</f>
        <v>93.127835276033281</v>
      </c>
      <c r="N10" s="202">
        <f>VLOOKUP($A10,'2014'!$B$3:$P$38,7,0)</f>
        <v>92.812195027403462</v>
      </c>
      <c r="O10" s="202">
        <f>VLOOKUP($A10,'2014'!$B$3:$P$38,8,0)</f>
        <v>93.574372113884323</v>
      </c>
      <c r="P10" s="202">
        <f>VLOOKUP($A10,'2014'!$B$3:$P$38,9,0)</f>
        <v>93.811343217543808</v>
      </c>
      <c r="Q10" s="202">
        <f>VLOOKUP($A10,'2014'!$B$3:$P$38,10,0)</f>
        <v>92.836148236225966</v>
      </c>
      <c r="R10" s="202">
        <f>VLOOKUP($A10,'2014'!$B$3:$P$38,11,0)</f>
        <v>94.486104558695644</v>
      </c>
      <c r="S10" s="202">
        <f>VLOOKUP($A10,'2014'!$B$3:$P$38,12,0)</f>
        <v>92.050017940922601</v>
      </c>
      <c r="T10" s="202">
        <f>VLOOKUP($A10,'2014'!$B$3:$P$38,13,0)</f>
        <v>99.125</v>
      </c>
      <c r="U10" s="212">
        <f>VLOOKUP($A10,'2013'!$B$117:$N$152,13,0)</f>
        <v>90.508479551150458</v>
      </c>
      <c r="V10" s="202">
        <f>VLOOKUP($A10,'2013'!$B$117:$N$152,6,0)</f>
        <v>94.518858603338003</v>
      </c>
      <c r="W10" s="202">
        <f>VLOOKUP($A10,'2013'!$B$117:$N$152,7,0)</f>
        <v>93.314600257616164</v>
      </c>
      <c r="X10" s="202">
        <f>VLOOKUP($A10,'2013'!$B$117:$N$152,8,0)</f>
        <v>93.739426478028605</v>
      </c>
      <c r="Y10" s="202">
        <f>VLOOKUP($A10,'2013'!$B$117:$N$152,9,0)</f>
        <v>92.475314223000041</v>
      </c>
      <c r="Z10" s="202">
        <f>VLOOKUP($A10,'2013'!$B$117:$N$152,10,0)</f>
        <v>93.426212222727273</v>
      </c>
      <c r="AA10" s="203">
        <f>VLOOKUP($A10,'2013'!$B$117:$N$152,11,0)</f>
        <v>95.723116949059843</v>
      </c>
      <c r="AB10" s="195" t="e">
        <f>VLOOKUP($A10,'2012'!$B$117:$N$153,13,0)</f>
        <v>#N/A</v>
      </c>
      <c r="AC10" s="196">
        <f>VLOOKUP($A10,'2012'!$B$117:$N$153,6,0)</f>
        <v>91.649892073501334</v>
      </c>
      <c r="AD10" s="196">
        <f>VLOOKUP($A10,'2012'!$B$117:$N$153,7,0)</f>
        <v>89.864301109113811</v>
      </c>
      <c r="AE10" s="196">
        <f>VLOOKUP($A10,'2012'!$B$117:$N$153,8,0)</f>
        <v>90.894038726537872</v>
      </c>
      <c r="AF10" s="196">
        <f>VLOOKUP($A10,'2012'!$B$117:$N$153,9,0)</f>
        <v>89.177111497069973</v>
      </c>
      <c r="AG10" s="196">
        <f>VLOOKUP($A10,'2012'!$B$117:$N$153,10,0)</f>
        <v>88.387179761923036</v>
      </c>
      <c r="AH10" s="197">
        <f>VLOOKUP($A10,'2012'!$B$117:$N$153,11,0)</f>
        <v>93.435483037888858</v>
      </c>
    </row>
    <row r="11" spans="1:34" ht="20.100000000000001" customHeight="1">
      <c r="A11" s="188" t="s">
        <v>6</v>
      </c>
      <c r="B11" s="188" t="s">
        <v>280</v>
      </c>
      <c r="C11" s="212">
        <f>VLOOKUP($A11,'2015'!$C$111:$U$142,19,0)</f>
        <v>94.07</v>
      </c>
      <c r="D11" s="202">
        <f>VLOOKUP($A11,'2015'!$C$111:$U$142,6,0)</f>
        <v>95.923016361142075</v>
      </c>
      <c r="E11" s="202">
        <f>VLOOKUP($A11,'2015'!$C$111:$U$142,7,0)</f>
        <v>95.70843827488639</v>
      </c>
      <c r="F11" s="202">
        <f>VLOOKUP($A11,'2015'!$C$111:$U$142,8,0)</f>
        <v>95.063278063655389</v>
      </c>
      <c r="G11" s="202">
        <f>VLOOKUP($A11,'2015'!$C$111:$U$142,9,0)</f>
        <v>94.179213483146057</v>
      </c>
      <c r="H11" s="202">
        <f>VLOOKUP($A11,'2015'!$C$111:$U$142,10,0)</f>
        <v>96.148636363636371</v>
      </c>
      <c r="I11" s="202">
        <f>VLOOKUP($A11,'2015'!$C$111:$U$142,11,0)</f>
        <v>95.967422881102124</v>
      </c>
      <c r="J11" s="202">
        <f>VLOOKUP($A11,'2015'!$C$111:$U$142,12,0)</f>
        <v>96.35359848611742</v>
      </c>
      <c r="K11" s="214">
        <f>VLOOKUP($A11,'2015'!$C$111:$U$142,13,0)</f>
        <v>100</v>
      </c>
      <c r="L11" s="212">
        <f>VLOOKUP($A11,'2014'!$B$3:$P$38,15,0)</f>
        <v>92.025606248749654</v>
      </c>
      <c r="M11" s="202">
        <f>VLOOKUP($A11,'2014'!$B$3:$P$38,6,0)</f>
        <v>94.261916748370339</v>
      </c>
      <c r="N11" s="202">
        <f>VLOOKUP($A11,'2014'!$B$3:$P$38,7,0)</f>
        <v>94.058596577231938</v>
      </c>
      <c r="O11" s="202">
        <f>VLOOKUP($A11,'2014'!$B$3:$P$38,8,0)</f>
        <v>94.289346923439254</v>
      </c>
      <c r="P11" s="202">
        <f>VLOOKUP($A11,'2014'!$B$3:$P$38,9,0)</f>
        <v>94.296785623611157</v>
      </c>
      <c r="Q11" s="202">
        <f>VLOOKUP($A11,'2014'!$B$3:$P$38,10,0)</f>
        <v>94.763176886749406</v>
      </c>
      <c r="R11" s="202">
        <f>VLOOKUP($A11,'2014'!$B$3:$P$38,11,0)</f>
        <v>92.923576889772733</v>
      </c>
      <c r="S11" s="202">
        <f>VLOOKUP($A11,'2014'!$B$3:$P$38,12,0)</f>
        <v>93.827846231024623</v>
      </c>
      <c r="T11" s="202">
        <f>VLOOKUP($A11,'2014'!$B$3:$P$38,13,0)</f>
        <v>98.125</v>
      </c>
      <c r="U11" s="212">
        <f>VLOOKUP($A11,'2013'!$B$117:$N$152,13,0)</f>
        <v>91.273333333333326</v>
      </c>
      <c r="V11" s="202">
        <f>VLOOKUP($A11,'2013'!$B$117:$N$152,6,0)</f>
        <v>95.090192203497736</v>
      </c>
      <c r="W11" s="202">
        <f>VLOOKUP($A11,'2013'!$B$117:$N$152,7,0)</f>
        <v>93.665304311663249</v>
      </c>
      <c r="X11" s="202">
        <f>VLOOKUP($A11,'2013'!$B$117:$N$152,8,0)</f>
        <v>91.995207963726699</v>
      </c>
      <c r="Y11" s="202">
        <f>VLOOKUP($A11,'2013'!$B$117:$N$152,9,0)</f>
        <v>94.90291124642863</v>
      </c>
      <c r="Z11" s="202">
        <f>VLOOKUP($A11,'2013'!$B$117:$N$152,10,0)</f>
        <v>96.896028626249986</v>
      </c>
      <c r="AA11" s="203">
        <f>VLOOKUP($A11,'2013'!$B$117:$N$152,11,0)</f>
        <v>96.515080095332209</v>
      </c>
      <c r="AB11" s="192">
        <f>VLOOKUP($A11,'2012'!$B$117:$N$153,13,0)</f>
        <v>90.07</v>
      </c>
      <c r="AC11" s="193">
        <f>VLOOKUP($A11,'2012'!$B$117:$N$153,6,0)</f>
        <v>92.08052609006613</v>
      </c>
      <c r="AD11" s="193">
        <f>VLOOKUP($A11,'2012'!$B$117:$N$153,7,0)</f>
        <v>89.722902402222502</v>
      </c>
      <c r="AE11" s="193">
        <f>VLOOKUP($A11,'2012'!$B$117:$N$153,8,0)</f>
        <v>90.886817342922953</v>
      </c>
      <c r="AF11" s="193">
        <f>VLOOKUP($A11,'2012'!$B$117:$N$153,9,0)</f>
        <v>88.506585292613622</v>
      </c>
      <c r="AG11" s="193">
        <f>VLOOKUP($A11,'2012'!$B$117:$N$153,10,0)</f>
        <v>89.1400226631458</v>
      </c>
      <c r="AH11" s="194">
        <f>VLOOKUP($A11,'2012'!$B$117:$N$153,11,0)</f>
        <v>94.438149777909757</v>
      </c>
    </row>
    <row r="12" spans="1:34" ht="20.100000000000001" customHeight="1">
      <c r="A12" s="188" t="s">
        <v>11</v>
      </c>
      <c r="B12" s="188" t="s">
        <v>280</v>
      </c>
      <c r="C12" s="212">
        <f>VLOOKUP($A12,'2015'!$C$111:$U$142,19,0)</f>
        <v>93.54505468250133</v>
      </c>
      <c r="D12" s="202">
        <f>VLOOKUP($A12,'2015'!$C$111:$U$142,6,0)</f>
        <v>96.344324677046458</v>
      </c>
      <c r="E12" s="202">
        <f>VLOOKUP($A12,'2015'!$C$111:$U$142,7,0)</f>
        <v>96.172973344259432</v>
      </c>
      <c r="F12" s="202">
        <f>VLOOKUP($A12,'2015'!$C$111:$U$142,8,0)</f>
        <v>94.860940375010955</v>
      </c>
      <c r="G12" s="202">
        <f>VLOOKUP($A12,'2015'!$C$111:$U$142,9,0)</f>
        <v>94.573165137614666</v>
      </c>
      <c r="H12" s="202">
        <f>VLOOKUP($A12,'2015'!$C$111:$U$142,10,0)</f>
        <v>95.06395456346587</v>
      </c>
      <c r="I12" s="202">
        <f>VLOOKUP($A12,'2015'!$C$111:$U$142,11,0)</f>
        <v>95.544230769230751</v>
      </c>
      <c r="J12" s="202">
        <f>VLOOKUP($A12,'2015'!$C$111:$U$142,12,0)</f>
        <v>97.485006313507881</v>
      </c>
      <c r="K12" s="214">
        <f>VLOOKUP($A12,'2015'!$C$111:$U$142,13,0)</f>
        <v>99.6</v>
      </c>
      <c r="L12" s="212">
        <f>VLOOKUP($A12,'2014'!$B$3:$P$38,15,0)</f>
        <v>91.158545660843473</v>
      </c>
      <c r="M12" s="202">
        <f>VLOOKUP($A12,'2014'!$B$3:$P$38,6,0)</f>
        <v>94.062323963193293</v>
      </c>
      <c r="N12" s="202">
        <f>VLOOKUP($A12,'2014'!$B$3:$P$38,7,0)</f>
        <v>93.815604171782411</v>
      </c>
      <c r="O12" s="202">
        <f>VLOOKUP($A12,'2014'!$B$3:$P$38,8,0)</f>
        <v>94.362489859261487</v>
      </c>
      <c r="P12" s="202">
        <f>VLOOKUP($A12,'2014'!$B$3:$P$38,9,0)</f>
        <v>93.996945916743087</v>
      </c>
      <c r="Q12" s="202">
        <f>VLOOKUP($A12,'2014'!$B$3:$P$38,10,0)</f>
        <v>94.386684141712038</v>
      </c>
      <c r="R12" s="202">
        <f>VLOOKUP($A12,'2014'!$B$3:$P$38,11,0)</f>
        <v>95.722422256249985</v>
      </c>
      <c r="S12" s="202">
        <f>VLOOKUP($A12,'2014'!$B$3:$P$38,12,0)</f>
        <v>93.268718484303335</v>
      </c>
      <c r="T12" s="202">
        <f>VLOOKUP($A12,'2014'!$B$3:$P$38,13,0)</f>
        <v>98.75</v>
      </c>
      <c r="U12" s="212">
        <f>VLOOKUP($A12,'2013'!$B$117:$N$152,13,0)</f>
        <v>90.87521736166839</v>
      </c>
      <c r="V12" s="202">
        <f>VLOOKUP($A12,'2013'!$B$117:$N$152,6,0)</f>
        <v>94.451997507006126</v>
      </c>
      <c r="W12" s="202">
        <f>VLOOKUP($A12,'2013'!$B$117:$N$152,7,0)</f>
        <v>94.767812197101577</v>
      </c>
      <c r="X12" s="202">
        <f>VLOOKUP($A12,'2013'!$B$117:$N$152,8,0)</f>
        <v>94.476200873709715</v>
      </c>
      <c r="Y12" s="202">
        <f>VLOOKUP($A12,'2013'!$B$117:$N$152,9,0)</f>
        <v>94.451084670376233</v>
      </c>
      <c r="Z12" s="202">
        <f>VLOOKUP($A12,'2013'!$B$117:$N$152,10,0)</f>
        <v>96.340903737037024</v>
      </c>
      <c r="AA12" s="203">
        <f>VLOOKUP($A12,'2013'!$B$117:$N$152,11,0)</f>
        <v>94.136182816910676</v>
      </c>
      <c r="AB12" s="192">
        <f>VLOOKUP($A12,'2012'!$B$117:$N$153,13,0)</f>
        <v>89.18</v>
      </c>
      <c r="AC12" s="193">
        <f>VLOOKUP($A12,'2012'!$B$117:$N$153,6,0)</f>
        <v>90.894463504523415</v>
      </c>
      <c r="AD12" s="193">
        <f>VLOOKUP($A12,'2012'!$B$117:$N$153,7,0)</f>
        <v>88.255826678803786</v>
      </c>
      <c r="AE12" s="193">
        <f>VLOOKUP($A12,'2012'!$B$117:$N$153,8,0)</f>
        <v>87.399581997832072</v>
      </c>
      <c r="AF12" s="193">
        <f>VLOOKUP($A12,'2012'!$B$117:$N$153,9,0)</f>
        <v>89.346239423432806</v>
      </c>
      <c r="AG12" s="193">
        <f>VLOOKUP($A12,'2012'!$B$117:$N$153,10,0)</f>
        <v>88.410336320945902</v>
      </c>
      <c r="AH12" s="194">
        <f>VLOOKUP($A12,'2012'!$B$117:$N$153,11,0)</f>
        <v>93.533100330243045</v>
      </c>
    </row>
    <row r="13" spans="1:34" ht="20.100000000000001" customHeight="1">
      <c r="A13" s="188" t="s">
        <v>17</v>
      </c>
      <c r="B13" s="188" t="s">
        <v>280</v>
      </c>
      <c r="C13" s="212">
        <f>VLOOKUP($A13,'2015'!$C$111:$U$142,19,0)</f>
        <v>94.058535432791032</v>
      </c>
      <c r="D13" s="202">
        <f>VLOOKUP($A13,'2015'!$C$111:$U$142,6,0)</f>
        <v>95.783561458477848</v>
      </c>
      <c r="E13" s="202">
        <f>VLOOKUP($A13,'2015'!$C$111:$U$142,7,0)</f>
        <v>95.745854166818788</v>
      </c>
      <c r="F13" s="202">
        <f>VLOOKUP($A13,'2015'!$C$111:$U$142,8,0)</f>
        <v>94.687888888888892</v>
      </c>
      <c r="G13" s="202">
        <f>VLOOKUP($A13,'2015'!$C$111:$U$142,9,0)</f>
        <v>95.145661157024776</v>
      </c>
      <c r="H13" s="202">
        <f>VLOOKUP($A13,'2015'!$C$111:$U$142,10,0)</f>
        <v>93.804333333333332</v>
      </c>
      <c r="I13" s="202">
        <f>VLOOKUP($A13,'2015'!$C$111:$U$142,11,0)</f>
        <v>95.062931034482759</v>
      </c>
      <c r="J13" s="202">
        <f>VLOOKUP($A13,'2015'!$C$111:$U$142,12,0)</f>
        <v>96.803819444748711</v>
      </c>
      <c r="K13" s="214">
        <f>VLOOKUP($A13,'2015'!$C$111:$U$142,13,0)</f>
        <v>96.5</v>
      </c>
      <c r="L13" s="212">
        <f>VLOOKUP($A13,'2014'!$B$3:$P$38,15,0)</f>
        <v>91.4899806290654</v>
      </c>
      <c r="M13" s="202">
        <f>VLOOKUP($A13,'2014'!$B$3:$P$38,6,0)</f>
        <v>94.834908402194316</v>
      </c>
      <c r="N13" s="202">
        <f>VLOOKUP($A13,'2014'!$B$3:$P$38,7,0)</f>
        <v>94.628850949678224</v>
      </c>
      <c r="O13" s="202">
        <f>VLOOKUP($A13,'2014'!$B$3:$P$38,8,0)</f>
        <v>94.771503429444536</v>
      </c>
      <c r="P13" s="202">
        <f>VLOOKUP($A13,'2014'!$B$3:$P$38,9,0)</f>
        <v>95.020531378652336</v>
      </c>
      <c r="Q13" s="202">
        <f>VLOOKUP($A13,'2014'!$B$3:$P$38,10,0)</f>
        <v>94.108947433035652</v>
      </c>
      <c r="R13" s="202">
        <f>VLOOKUP($A13,'2014'!$B$3:$P$38,11,0)</f>
        <v>95.334111915178553</v>
      </c>
      <c r="S13" s="202">
        <f>VLOOKUP($A13,'2014'!$B$3:$P$38,12,0)</f>
        <v>94.486198469911912</v>
      </c>
      <c r="T13" s="202">
        <f>VLOOKUP($A13,'2014'!$B$3:$P$38,13,0)</f>
        <v>98.75</v>
      </c>
      <c r="U13" s="212">
        <f>VLOOKUP($A13,'2013'!$B$117:$N$152,13,0)</f>
        <v>92.515601431619174</v>
      </c>
      <c r="V13" s="202">
        <f>VLOOKUP($A13,'2013'!$B$117:$N$152,6,0)</f>
        <v>93.687798469403035</v>
      </c>
      <c r="W13" s="202">
        <f>VLOOKUP($A13,'2013'!$B$117:$N$152,7,0)</f>
        <v>95.033507149811271</v>
      </c>
      <c r="X13" s="202">
        <f>VLOOKUP($A13,'2013'!$B$117:$N$152,8,0)</f>
        <v>95.706401173503593</v>
      </c>
      <c r="Y13" s="202">
        <f>VLOOKUP($A13,'2013'!$B$117:$N$152,9,0)</f>
        <v>94.542516994186073</v>
      </c>
      <c r="Z13" s="202">
        <f>VLOOKUP($A13,'2013'!$B$117:$N$152,10,0)</f>
        <v>93.435406743478268</v>
      </c>
      <c r="AA13" s="203">
        <f>VLOOKUP($A13,'2013'!$B$117:$N$152,11,0)</f>
        <v>92.342089788994798</v>
      </c>
      <c r="AB13" s="192">
        <f>VLOOKUP($A13,'2012'!$B$117:$N$153,13,0)</f>
        <v>91.04</v>
      </c>
      <c r="AC13" s="193">
        <f>VLOOKUP($A13,'2012'!$B$117:$N$153,6,0)</f>
        <v>92.670406158469376</v>
      </c>
      <c r="AD13" s="193">
        <f>VLOOKUP($A13,'2012'!$B$117:$N$153,7,0)</f>
        <v>89.063382249715545</v>
      </c>
      <c r="AE13" s="193">
        <f>VLOOKUP($A13,'2012'!$B$117:$N$153,8,0)</f>
        <v>89.96978375611765</v>
      </c>
      <c r="AF13" s="193">
        <f>VLOOKUP($A13,'2012'!$B$117:$N$153,9,0)</f>
        <v>86.624046968681796</v>
      </c>
      <c r="AG13" s="193">
        <f>VLOOKUP($A13,'2012'!$B$117:$N$153,10,0)</f>
        <v>91.178912339074046</v>
      </c>
      <c r="AH13" s="194">
        <f>VLOOKUP($A13,'2012'!$B$117:$N$153,11,0)</f>
        <v>96.277430067223193</v>
      </c>
    </row>
    <row r="14" spans="1:34" ht="20.100000000000001" customHeight="1">
      <c r="A14" s="188" t="s">
        <v>7</v>
      </c>
      <c r="B14" s="188" t="s">
        <v>280</v>
      </c>
      <c r="C14" s="212">
        <f>VLOOKUP($A14,'2015'!$C$111:$U$142,19,0)</f>
        <v>93.947698359771579</v>
      </c>
      <c r="D14" s="202">
        <f>VLOOKUP($A14,'2015'!$C$111:$U$142,6,0)</f>
        <v>94.407836393756412</v>
      </c>
      <c r="E14" s="202">
        <f>VLOOKUP($A14,'2015'!$C$111:$U$142,7,0)</f>
        <v>94.176669888164639</v>
      </c>
      <c r="F14" s="202">
        <f>VLOOKUP($A14,'2015'!$C$111:$U$142,8,0)</f>
        <v>94.161830936573921</v>
      </c>
      <c r="G14" s="202">
        <f>VLOOKUP($A14,'2015'!$C$111:$U$142,9,0)</f>
        <v>94.663495575221219</v>
      </c>
      <c r="H14" s="202">
        <f>VLOOKUP($A14,'2015'!$C$111:$U$142,10,0)</f>
        <v>92.723437499999989</v>
      </c>
      <c r="I14" s="202">
        <f>VLOOKUP($A14,'2015'!$C$111:$U$142,11,0)</f>
        <v>95.576593967517397</v>
      </c>
      <c r="J14" s="202">
        <f>VLOOKUP($A14,'2015'!$C$111:$U$142,12,0)</f>
        <v>94.191508839755357</v>
      </c>
      <c r="K14" s="214">
        <f>VLOOKUP($A14,'2015'!$C$111:$U$142,13,0)</f>
        <v>98.8</v>
      </c>
      <c r="L14" s="212">
        <f>VLOOKUP($A14,'2014'!$B$3:$P$38,15,0)</f>
        <v>91.631886691525466</v>
      </c>
      <c r="M14" s="202">
        <f>VLOOKUP($A14,'2014'!$B$3:$P$38,6,0)</f>
        <v>94.291448313448242</v>
      </c>
      <c r="N14" s="202">
        <f>VLOOKUP($A14,'2014'!$B$3:$P$38,7,0)</f>
        <v>93.990998224682357</v>
      </c>
      <c r="O14" s="202">
        <f>VLOOKUP($A14,'2014'!$B$3:$P$38,8,0)</f>
        <v>94.964810397806289</v>
      </c>
      <c r="P14" s="202">
        <f>VLOOKUP($A14,'2014'!$B$3:$P$38,9,0)</f>
        <v>95.359709173307522</v>
      </c>
      <c r="Q14" s="202">
        <f>VLOOKUP($A14,'2014'!$B$3:$P$38,10,0)</f>
        <v>93.539426036575833</v>
      </c>
      <c r="R14" s="202">
        <f>VLOOKUP($A14,'2014'!$B$3:$P$38,11,0)</f>
        <v>97.048895824999988</v>
      </c>
      <c r="S14" s="202">
        <f>VLOOKUP($A14,'2014'!$B$3:$P$38,12,0)</f>
        <v>93.017186051558426</v>
      </c>
      <c r="T14" s="202">
        <f>VLOOKUP($A14,'2014'!$B$3:$P$38,13,0)</f>
        <v>100</v>
      </c>
      <c r="U14" s="212">
        <f>VLOOKUP($A14,'2013'!$B$117:$N$152,13,0)</f>
        <v>91.3</v>
      </c>
      <c r="V14" s="202">
        <f>VLOOKUP($A14,'2013'!$B$117:$N$152,6,0)</f>
        <v>94.567842642646283</v>
      </c>
      <c r="W14" s="202">
        <f>VLOOKUP($A14,'2013'!$B$117:$N$152,7,0)</f>
        <v>94.986506128626075</v>
      </c>
      <c r="X14" s="202">
        <f>VLOOKUP($A14,'2013'!$B$117:$N$152,8,0)</f>
        <v>94.979624397272744</v>
      </c>
      <c r="Y14" s="202">
        <f>VLOOKUP($A14,'2013'!$B$117:$N$152,9,0)</f>
        <v>94.963303434090975</v>
      </c>
      <c r="Z14" s="202">
        <f>VLOOKUP($A14,'2013'!$B$117:$N$152,10,0)</f>
        <v>95.063977904999987</v>
      </c>
      <c r="AA14" s="203">
        <f>VLOOKUP($A14,'2013'!$B$117:$N$152,11,0)</f>
        <v>94.149179156666492</v>
      </c>
      <c r="AB14" s="192">
        <f>VLOOKUP($A14,'2012'!$B$117:$N$153,13,0)</f>
        <v>89.09</v>
      </c>
      <c r="AC14" s="193">
        <f>VLOOKUP($A14,'2012'!$B$117:$N$153,6,0)</f>
        <v>92.154871015237291</v>
      </c>
      <c r="AD14" s="193">
        <f>VLOOKUP($A14,'2012'!$B$117:$N$153,7,0)</f>
        <v>90.47510931491901</v>
      </c>
      <c r="AE14" s="193">
        <f>VLOOKUP($A14,'2012'!$B$117:$N$153,8,0)</f>
        <v>90.748710785395531</v>
      </c>
      <c r="AF14" s="193">
        <f>VLOOKUP($A14,'2012'!$B$117:$N$153,9,0)</f>
        <v>90.331103578475677</v>
      </c>
      <c r="AG14" s="193">
        <f>VLOOKUP($A14,'2012'!$B$117:$N$153,10,0)</f>
        <v>90.00030507249997</v>
      </c>
      <c r="AH14" s="194">
        <f>VLOOKUP($A14,'2012'!$B$117:$N$153,11,0)</f>
        <v>93.834632715555571</v>
      </c>
    </row>
    <row r="15" spans="1:34" ht="20.100000000000001" customHeight="1">
      <c r="A15" s="188" t="s">
        <v>8</v>
      </c>
      <c r="B15" s="188" t="s">
        <v>281</v>
      </c>
      <c r="C15" s="212">
        <f>VLOOKUP($A15,'2015'!$C$111:$U$142,19,0)</f>
        <v>93.366279142045755</v>
      </c>
      <c r="D15" s="202">
        <f>VLOOKUP($A15,'2015'!$C$111:$U$142,6,0)</f>
        <v>94.46436171960562</v>
      </c>
      <c r="E15" s="202">
        <f>VLOOKUP($A15,'2015'!$C$111:$U$142,7,0)</f>
        <v>94.294064968005912</v>
      </c>
      <c r="F15" s="202">
        <f>VLOOKUP($A15,'2015'!$C$111:$U$142,8,0)</f>
        <v>93.899840793602138</v>
      </c>
      <c r="G15" s="202">
        <f>VLOOKUP($A15,'2015'!$C$111:$U$142,9,0)</f>
        <v>94.560593074501568</v>
      </c>
      <c r="H15" s="202">
        <f>VLOOKUP($A15,'2015'!$C$111:$U$142,10,0)</f>
        <v>91.843958947885938</v>
      </c>
      <c r="I15" s="202">
        <f>VLOOKUP($A15,'2015'!$C$111:$U$142,11,0)</f>
        <v>96.236607142857139</v>
      </c>
      <c r="J15" s="202">
        <f>VLOOKUP($A15,'2015'!$C$111:$U$142,12,0)</f>
        <v>94.688289142409715</v>
      </c>
      <c r="K15" s="214">
        <f>VLOOKUP($A15,'2015'!$C$111:$U$142,13,0)</f>
        <v>97.7</v>
      </c>
      <c r="L15" s="212">
        <f>VLOOKUP($A15,'2014'!$B$3:$P$38,15,0)</f>
        <v>90.521379524986443</v>
      </c>
      <c r="M15" s="202">
        <f>VLOOKUP($A15,'2014'!$B$3:$P$38,6,0)</f>
        <v>94.16490909219057</v>
      </c>
      <c r="N15" s="202">
        <f>VLOOKUP($A15,'2014'!$B$3:$P$38,7,0)</f>
        <v>93.923588518095343</v>
      </c>
      <c r="O15" s="202">
        <f>VLOOKUP($A15,'2014'!$B$3:$P$38,8,0)</f>
        <v>93.347098357540801</v>
      </c>
      <c r="P15" s="202">
        <f>VLOOKUP($A15,'2014'!$B$3:$P$38,9,0)</f>
        <v>93.721678288188855</v>
      </c>
      <c r="Q15" s="202">
        <f>VLOOKUP($A15,'2014'!$B$3:$P$38,10,0)</f>
        <v>92.005331059625775</v>
      </c>
      <c r="R15" s="202">
        <f>VLOOKUP($A15,'2014'!$B$3:$P$38,11,0)</f>
        <v>95.529651926785718</v>
      </c>
      <c r="S15" s="202">
        <f>VLOOKUP($A15,'2014'!$B$3:$P$38,12,0)</f>
        <v>94.500078678649885</v>
      </c>
      <c r="T15" s="202">
        <f>VLOOKUP($A15,'2014'!$B$3:$P$38,13,0)</f>
        <v>98.75</v>
      </c>
      <c r="U15" s="212">
        <f>VLOOKUP($A15,'2013'!$B$117:$N$152,13,0)</f>
        <v>91.016457555452959</v>
      </c>
      <c r="V15" s="202">
        <f>VLOOKUP($A15,'2013'!$B$117:$N$152,6,0)</f>
        <v>93.164975684063307</v>
      </c>
      <c r="W15" s="202">
        <f>VLOOKUP($A15,'2013'!$B$117:$N$152,7,0)</f>
        <v>92.996413393974848</v>
      </c>
      <c r="X15" s="202">
        <f>VLOOKUP($A15,'2013'!$B$117:$N$152,8,0)</f>
        <v>92.838473587685854</v>
      </c>
      <c r="Y15" s="202">
        <f>VLOOKUP($A15,'2013'!$B$117:$N$152,9,0)</f>
        <v>93.925623198015899</v>
      </c>
      <c r="Z15" s="202">
        <f>VLOOKUP($A15,'2013'!$B$117:$N$152,10,0)</f>
        <v>91.597862127500008</v>
      </c>
      <c r="AA15" s="203">
        <f>VLOOKUP($A15,'2013'!$B$117:$N$152,11,0)</f>
        <v>93.333537974151753</v>
      </c>
      <c r="AB15" s="192">
        <f>VLOOKUP($A15,'2012'!$B$117:$N$153,13,0)</f>
        <v>88.41</v>
      </c>
      <c r="AC15" s="193">
        <f>VLOOKUP($A15,'2012'!$B$117:$N$153,6,0)</f>
        <v>91.679122979752378</v>
      </c>
      <c r="AD15" s="193">
        <f>VLOOKUP($A15,'2012'!$B$117:$N$153,7,0)</f>
        <v>88.311258633685313</v>
      </c>
      <c r="AE15" s="193">
        <f>VLOOKUP($A15,'2012'!$B$117:$N$153,8,0)</f>
        <v>87.407868605365138</v>
      </c>
      <c r="AF15" s="193">
        <f>VLOOKUP($A15,'2012'!$B$117:$N$153,9,0)</f>
        <v>87.751107136675969</v>
      </c>
      <c r="AG15" s="193">
        <f>VLOOKUP($A15,'2012'!$B$117:$N$153,10,0)</f>
        <v>91.823280517749964</v>
      </c>
      <c r="AH15" s="194">
        <f>VLOOKUP($A15,'2012'!$B$117:$N$153,11,0)</f>
        <v>95.046987325819444</v>
      </c>
    </row>
    <row r="16" spans="1:34" ht="20.100000000000001" customHeight="1">
      <c r="A16" s="188" t="s">
        <v>9</v>
      </c>
      <c r="B16" s="188" t="s">
        <v>281</v>
      </c>
      <c r="C16" s="212">
        <f>VLOOKUP($A16,'2015'!$C$111:$U$142,19,0)</f>
        <v>94.074063592198399</v>
      </c>
      <c r="D16" s="202">
        <f>VLOOKUP($A16,'2015'!$C$111:$U$142,6,0)</f>
        <v>96.066275648606492</v>
      </c>
      <c r="E16" s="202">
        <f>VLOOKUP($A16,'2015'!$C$111:$U$142,7,0)</f>
        <v>95.901342788006843</v>
      </c>
      <c r="F16" s="202">
        <f>VLOOKUP($A16,'2015'!$C$111:$U$142,8,0)</f>
        <v>94.589680525504534</v>
      </c>
      <c r="G16" s="202">
        <f>VLOOKUP($A16,'2015'!$C$111:$U$142,9,0)</f>
        <v>94.237610619469024</v>
      </c>
      <c r="H16" s="202">
        <f>VLOOKUP($A16,'2015'!$C$111:$U$142,10,0)</f>
        <v>94.992279913453075</v>
      </c>
      <c r="I16" s="202">
        <f>VLOOKUP($A16,'2015'!$C$111:$U$142,11,0)</f>
        <v>94.93214285714285</v>
      </c>
      <c r="J16" s="202">
        <f>VLOOKUP($A16,'2015'!$C$111:$U$142,12,0)</f>
        <v>97.213005050509139</v>
      </c>
      <c r="K16" s="214">
        <f>VLOOKUP($A16,'2015'!$C$111:$U$142,13,0)</f>
        <v>99.2</v>
      </c>
      <c r="L16" s="212">
        <f>VLOOKUP($A16,'2014'!$B$3:$P$38,15,0)</f>
        <v>90.985154598626806</v>
      </c>
      <c r="M16" s="202">
        <f>VLOOKUP($A16,'2014'!$B$3:$P$38,6,0)</f>
        <v>95.134618019844766</v>
      </c>
      <c r="N16" s="202">
        <f>VLOOKUP($A16,'2014'!$B$3:$P$38,7,0)</f>
        <v>94.878545284047121</v>
      </c>
      <c r="O16" s="202">
        <f>VLOOKUP($A16,'2014'!$B$3:$P$38,8,0)</f>
        <v>94.489447112071517</v>
      </c>
      <c r="P16" s="202">
        <f>VLOOKUP($A16,'2014'!$B$3:$P$38,9,0)</f>
        <v>93.764902454816436</v>
      </c>
      <c r="Q16" s="202">
        <f>VLOOKUP($A16,'2014'!$B$3:$P$38,10,0)</f>
        <v>94.407835033437479</v>
      </c>
      <c r="R16" s="202">
        <f>VLOOKUP($A16,'2014'!$B$3:$P$38,11,0)</f>
        <v>97.543173323913294</v>
      </c>
      <c r="S16" s="202">
        <f>VLOOKUP($A16,'2014'!$B$3:$P$38,12,0)</f>
        <v>95.267643456022725</v>
      </c>
      <c r="T16" s="202">
        <f>VLOOKUP($A16,'2014'!$B$3:$P$38,13,0)</f>
        <v>100</v>
      </c>
      <c r="U16" s="212">
        <f>VLOOKUP($A16,'2013'!$B$117:$N$152,13,0)</f>
        <v>90.589846909684525</v>
      </c>
      <c r="V16" s="202">
        <f>VLOOKUP($A16,'2013'!$B$117:$N$152,6,0)</f>
        <v>94.559820298207143</v>
      </c>
      <c r="W16" s="202">
        <f>VLOOKUP($A16,'2013'!$B$117:$N$152,7,0)</f>
        <v>95.526501236858039</v>
      </c>
      <c r="X16" s="202">
        <f>VLOOKUP($A16,'2013'!$B$117:$N$152,8,0)</f>
        <v>96.275743931523422</v>
      </c>
      <c r="Y16" s="202">
        <f>VLOOKUP($A16,'2013'!$B$117:$N$152,9,0)</f>
        <v>94.979638795238145</v>
      </c>
      <c r="Z16" s="202">
        <f>VLOOKUP($A16,'2013'!$B$117:$N$152,10,0)</f>
        <v>93.802601532500006</v>
      </c>
      <c r="AA16" s="203">
        <f>VLOOKUP($A16,'2013'!$B$117:$N$152,11,0)</f>
        <v>93.593139359556247</v>
      </c>
      <c r="AB16" s="192">
        <f>VLOOKUP($A16,'2012'!$B$117:$N$153,13,0)</f>
        <v>89.53</v>
      </c>
      <c r="AC16" s="193">
        <f>VLOOKUP($A16,'2012'!$B$117:$N$153,6,0)</f>
        <v>91.127321880898307</v>
      </c>
      <c r="AD16" s="193">
        <f>VLOOKUP($A16,'2012'!$B$117:$N$153,7,0)</f>
        <v>88.514986626004955</v>
      </c>
      <c r="AE16" s="193">
        <f>VLOOKUP($A16,'2012'!$B$117:$N$153,8,0)</f>
        <v>90.187022756304728</v>
      </c>
      <c r="AF16" s="193">
        <f>VLOOKUP($A16,'2012'!$B$117:$N$153,9,0)</f>
        <v>87.401825589595575</v>
      </c>
      <c r="AG16" s="193">
        <f>VLOOKUP($A16,'2012'!$B$117:$N$153,10,0)</f>
        <v>86.15886112509024</v>
      </c>
      <c r="AH16" s="194">
        <f>VLOOKUP($A16,'2012'!$B$117:$N$153,11,0)</f>
        <v>93.739657135791674</v>
      </c>
    </row>
    <row r="17" spans="1:34" ht="20.100000000000001" customHeight="1">
      <c r="A17" s="188" t="s">
        <v>10</v>
      </c>
      <c r="B17" s="188" t="s">
        <v>281</v>
      </c>
      <c r="C17" s="212">
        <f>VLOOKUP($A17,'2015'!$C$111:$U$142,19,0)</f>
        <v>94.074063592198399</v>
      </c>
      <c r="D17" s="202">
        <f>VLOOKUP($A17,'2015'!$C$111:$U$142,6,0)</f>
        <v>96.092395063176156</v>
      </c>
      <c r="E17" s="202">
        <f>VLOOKUP($A17,'2015'!$C$111:$U$142,7,0)</f>
        <v>95.939363224395947</v>
      </c>
      <c r="F17" s="202">
        <f>VLOOKUP($A17,'2015'!$C$111:$U$142,8,0)</f>
        <v>95.066668367952261</v>
      </c>
      <c r="G17" s="202">
        <f>VLOOKUP($A17,'2015'!$C$111:$U$142,9,0)</f>
        <v>96.554394654610746</v>
      </c>
      <c r="H17" s="202">
        <f>VLOOKUP($A17,'2015'!$C$111:$U$142,10,0)</f>
        <v>94.059166232864811</v>
      </c>
      <c r="I17" s="202">
        <f>VLOOKUP($A17,'2015'!$C$111:$U$142,11,0)</f>
        <v>90.56527777777778</v>
      </c>
      <c r="J17" s="202">
        <f>VLOOKUP($A17,'2015'!$C$111:$U$142,12,0)</f>
        <v>96.812058080839634</v>
      </c>
      <c r="K17" s="214">
        <f>VLOOKUP($A17,'2015'!$C$111:$U$142,13,0)</f>
        <v>99</v>
      </c>
      <c r="L17" s="212">
        <f>VLOOKUP($A17,'2014'!$B$3:$P$38,15,0)</f>
        <v>91.48322456835642</v>
      </c>
      <c r="M17" s="202">
        <f>VLOOKUP($A17,'2014'!$B$3:$P$38,6,0)</f>
        <v>95.259324189698006</v>
      </c>
      <c r="N17" s="202">
        <f>VLOOKUP($A17,'2014'!$B$3:$P$38,7,0)</f>
        <v>95.075604410208427</v>
      </c>
      <c r="O17" s="202">
        <f>VLOOKUP($A17,'2014'!$B$3:$P$38,8,0)</f>
        <v>94.664012928564603</v>
      </c>
      <c r="P17" s="202">
        <f>VLOOKUP($A17,'2014'!$B$3:$P$38,9,0)</f>
        <v>94.947311434343405</v>
      </c>
      <c r="Q17" s="202">
        <f>VLOOKUP($A17,'2014'!$B$3:$P$38,10,0)</f>
        <v>94.864338311299605</v>
      </c>
      <c r="R17" s="202">
        <f>VLOOKUP($A17,'2014'!$B$3:$P$38,11,0)</f>
        <v>92.851933398863636</v>
      </c>
      <c r="S17" s="202">
        <f>VLOOKUP($A17,'2014'!$B$3:$P$38,12,0)</f>
        <v>95.487195891852267</v>
      </c>
      <c r="T17" s="202">
        <f>VLOOKUP($A17,'2014'!$B$3:$P$38,13,0)</f>
        <v>98.75</v>
      </c>
      <c r="U17" s="212">
        <f>VLOOKUP($A17,'2013'!$B$117:$N$152,13,0)</f>
        <v>91.356666666666669</v>
      </c>
      <c r="V17" s="202">
        <f>VLOOKUP($A17,'2013'!$B$117:$N$152,6,0)</f>
        <v>94.330965365498457</v>
      </c>
      <c r="W17" s="202">
        <f>VLOOKUP($A17,'2013'!$B$117:$N$152,7,0)</f>
        <v>93.941909557741027</v>
      </c>
      <c r="X17" s="202">
        <f>VLOOKUP($A17,'2013'!$B$117:$N$152,8,0)</f>
        <v>93.278843516975328</v>
      </c>
      <c r="Y17" s="202">
        <f>VLOOKUP($A17,'2013'!$B$117:$N$152,9,0)</f>
        <v>95.266561527907029</v>
      </c>
      <c r="Z17" s="202">
        <f>VLOOKUP($A17,'2013'!$B$117:$N$152,10,0)</f>
        <v>93.800531930996925</v>
      </c>
      <c r="AA17" s="203">
        <f>VLOOKUP($A17,'2013'!$B$117:$N$152,11,0)</f>
        <v>94.720021173255887</v>
      </c>
      <c r="AB17" s="192">
        <f>VLOOKUP($A17,'2012'!$B$117:$N$153,13,0)</f>
        <v>90.09</v>
      </c>
      <c r="AC17" s="193">
        <f>VLOOKUP($A17,'2012'!$B$117:$N$153,6,0)</f>
        <v>92.700991812647885</v>
      </c>
      <c r="AD17" s="193">
        <f>VLOOKUP($A17,'2012'!$B$117:$N$153,7,0)</f>
        <v>91.112026421913811</v>
      </c>
      <c r="AE17" s="193">
        <f>VLOOKUP($A17,'2012'!$B$117:$N$153,8,0)</f>
        <v>93.33168774077555</v>
      </c>
      <c r="AF17" s="193">
        <f>VLOOKUP($A17,'2012'!$B$117:$N$153,9,0)</f>
        <v>88.145224664017832</v>
      </c>
      <c r="AG17" s="193">
        <f>VLOOKUP($A17,'2012'!$B$117:$N$153,10,0)</f>
        <v>90.151208700331395</v>
      </c>
      <c r="AH17" s="194">
        <f>VLOOKUP($A17,'2012'!$B$117:$N$153,11,0)</f>
        <v>94.289957203381945</v>
      </c>
    </row>
    <row r="18" spans="1:34" ht="20.100000000000001" customHeight="1">
      <c r="A18" s="188" t="s">
        <v>13</v>
      </c>
      <c r="B18" s="188" t="s">
        <v>281</v>
      </c>
      <c r="C18" s="212">
        <f>VLOOKUP($A18,'2015'!$C$111:$U$142,19,0)</f>
        <v>94.036741287973499</v>
      </c>
      <c r="D18" s="202">
        <f>VLOOKUP($A18,'2015'!$C$111:$U$142,6,0)</f>
        <v>95.380964052438969</v>
      </c>
      <c r="E18" s="202">
        <f>VLOOKUP($A18,'2015'!$C$111:$U$142,7,0)</f>
        <v>95.343120055198924</v>
      </c>
      <c r="F18" s="202">
        <f>VLOOKUP($A18,'2015'!$C$111:$U$142,8,0)</f>
        <v>94.394281045751626</v>
      </c>
      <c r="G18" s="202">
        <f>VLOOKUP($A18,'2015'!$C$111:$U$142,9,0)</f>
        <v>94.068518518518516</v>
      </c>
      <c r="H18" s="202">
        <f>VLOOKUP($A18,'2015'!$C$111:$U$142,10,0)</f>
        <v>94.384499999999989</v>
      </c>
      <c r="I18" s="202">
        <f>VLOOKUP($A18,'2015'!$C$111:$U$142,11,0)</f>
        <v>95.615909090909099</v>
      </c>
      <c r="J18" s="202">
        <f>VLOOKUP($A18,'2015'!$C$111:$U$142,12,0)</f>
        <v>96.291959064646193</v>
      </c>
      <c r="K18" s="214">
        <f>VLOOKUP($A18,'2015'!$C$111:$U$142,13,0)</f>
        <v>96.1</v>
      </c>
      <c r="L18" s="212">
        <f>VLOOKUP($A18,'2014'!$B$3:$P$38,15,0)</f>
        <v>91.973120659977155</v>
      </c>
      <c r="M18" s="202">
        <f>VLOOKUP($A18,'2014'!$B$3:$P$38,6,0)</f>
        <v>94.107293134900331</v>
      </c>
      <c r="N18" s="202">
        <f>VLOOKUP($A18,'2014'!$B$3:$P$38,7,0)</f>
        <v>93.862940142000355</v>
      </c>
      <c r="O18" s="202">
        <f>VLOOKUP($A18,'2014'!$B$3:$P$38,8,0)</f>
        <v>93.597258278782704</v>
      </c>
      <c r="P18" s="202">
        <f>VLOOKUP($A18,'2014'!$B$3:$P$38,9,0)</f>
        <v>94.18698280657901</v>
      </c>
      <c r="Q18" s="202">
        <f>VLOOKUP($A18,'2014'!$B$3:$P$38,10,0)</f>
        <v>93.494459754326925</v>
      </c>
      <c r="R18" s="202">
        <f>VLOOKUP($A18,'2014'!$B$3:$P$38,11,0)</f>
        <v>91.952527410416636</v>
      </c>
      <c r="S18" s="202">
        <f>VLOOKUP($A18,'2014'!$B$3:$P$38,12,0)</f>
        <v>94.128622005218006</v>
      </c>
      <c r="T18" s="202">
        <f>VLOOKUP($A18,'2014'!$B$3:$P$38,13,0)</f>
        <v>98.75</v>
      </c>
      <c r="U18" s="212">
        <f>VLOOKUP($A18,'2013'!$B$117:$N$152,13,0)</f>
        <v>93.084752124794804</v>
      </c>
      <c r="V18" s="202">
        <f>VLOOKUP($A18,'2013'!$B$117:$N$152,6,0)</f>
        <v>94.109734726871693</v>
      </c>
      <c r="W18" s="202">
        <f>VLOOKUP($A18,'2013'!$B$117:$N$152,7,0)</f>
        <v>93.794577594243364</v>
      </c>
      <c r="X18" s="202">
        <f>VLOOKUP($A18,'2013'!$B$117:$N$152,8,0)</f>
        <v>94.362668766385866</v>
      </c>
      <c r="Y18" s="202">
        <f>VLOOKUP($A18,'2013'!$B$117:$N$152,9,0)</f>
        <v>93.023066605468756</v>
      </c>
      <c r="Z18" s="202">
        <f>VLOOKUP($A18,'2013'!$B$117:$N$152,10,0)</f>
        <v>93.329891935526305</v>
      </c>
      <c r="AA18" s="203">
        <f>VLOOKUP($A18,'2013'!$B$117:$N$152,11,0)</f>
        <v>94.424891859500022</v>
      </c>
      <c r="AB18" s="192">
        <f>VLOOKUP($A18,'2012'!$B$117:$N$153,13,0)</f>
        <v>92.01</v>
      </c>
      <c r="AC18" s="193">
        <f>VLOOKUP($A18,'2012'!$B$117:$N$153,6,0)</f>
        <v>93.750473602616665</v>
      </c>
      <c r="AD18" s="193">
        <f>VLOOKUP($A18,'2012'!$B$117:$N$153,7,0)</f>
        <v>90.276068139404757</v>
      </c>
      <c r="AE18" s="193">
        <f>VLOOKUP($A18,'2012'!$B$117:$N$153,8,0)</f>
        <v>88.814573358589755</v>
      </c>
      <c r="AF18" s="193">
        <f>VLOOKUP($A18,'2012'!$B$117:$N$153,9,0)</f>
        <v>91.170246713793077</v>
      </c>
      <c r="AG18" s="193">
        <f>VLOOKUP($A18,'2012'!$B$117:$N$153,10,0)</f>
        <v>92.217763001562474</v>
      </c>
      <c r="AH18" s="194">
        <f>VLOOKUP($A18,'2012'!$B$117:$N$153,11,0)</f>
        <v>97.224879065828574</v>
      </c>
    </row>
    <row r="19" spans="1:34" s="273" customFormat="1" ht="20.100000000000001" customHeight="1">
      <c r="A19" s="189" t="s">
        <v>23</v>
      </c>
      <c r="B19" s="189" t="s">
        <v>281</v>
      </c>
      <c r="C19" s="266">
        <f>VLOOKUP($A19,'2015'!$C$111:$U$142,19,0)</f>
        <v>94.469224195144022</v>
      </c>
      <c r="D19" s="267">
        <f>VLOOKUP($A19,'2015'!$C$111:$U$142,6,0)</f>
        <v>95.63244805341273</v>
      </c>
      <c r="E19" s="267">
        <f>VLOOKUP($A19,'2015'!$C$111:$U$142,7,0)</f>
        <v>95.481524266750242</v>
      </c>
      <c r="F19" s="267">
        <f>VLOOKUP($A19,'2015'!$C$111:$U$142,8,0)</f>
        <v>94.725767831501628</v>
      </c>
      <c r="G19" s="267">
        <f>VLOOKUP($A19,'2015'!$C$111:$U$142,9,0)</f>
        <v>95.130321811906583</v>
      </c>
      <c r="H19" s="267">
        <f>VLOOKUP($A19,'2015'!$C$111:$U$142,10,0)</f>
        <v>92.953999999999994</v>
      </c>
      <c r="I19" s="267">
        <f>VLOOKUP($A19,'2015'!$C$111:$U$142,11,0)</f>
        <v>97.621052631578948</v>
      </c>
      <c r="J19" s="267">
        <f>VLOOKUP($A19,'2015'!$C$111:$U$142,12,0)</f>
        <v>96.237280701998884</v>
      </c>
      <c r="K19" s="268">
        <f>VLOOKUP($A19,'2015'!$C$111:$U$142,13,0)</f>
        <v>98.5</v>
      </c>
      <c r="L19" s="266">
        <f>VLOOKUP($A19,'2014'!$B$3:$P$38,15,0)</f>
        <v>91.357282171058159</v>
      </c>
      <c r="M19" s="267">
        <f>VLOOKUP($A19,'2014'!$B$3:$P$38,6,0)</f>
        <v>95.461671055529578</v>
      </c>
      <c r="N19" s="267">
        <f>VLOOKUP($A19,'2014'!$B$3:$P$38,7,0)</f>
        <v>95.354390584767984</v>
      </c>
      <c r="O19" s="267">
        <f>VLOOKUP($A19,'2014'!$B$3:$P$38,8,0)</f>
        <v>95.808518445119063</v>
      </c>
      <c r="P19" s="267">
        <f>VLOOKUP($A19,'2014'!$B$3:$P$38,9,0)</f>
        <v>94.814468698236112</v>
      </c>
      <c r="Q19" s="267">
        <f>VLOOKUP($A19,'2014'!$B$3:$P$38,10,0)</f>
        <v>97.063415680434801</v>
      </c>
      <c r="R19" s="267">
        <f>VLOOKUP($A19,'2014'!$B$3:$P$38,11,0)</f>
        <v>96.709000601136353</v>
      </c>
      <c r="S19" s="267">
        <f>VLOOKUP($A19,'2014'!$B$3:$P$38,12,0)</f>
        <v>94.900262724416905</v>
      </c>
      <c r="T19" s="267">
        <f>VLOOKUP($A19,'2014'!$B$3:$P$38,13,0)</f>
        <v>97.5</v>
      </c>
      <c r="U19" s="266">
        <f>VLOOKUP($A19,'2013'!$B$117:$N$152,13,0)</f>
        <v>92.82740668033415</v>
      </c>
      <c r="V19" s="267">
        <f>VLOOKUP($A19,'2013'!$B$117:$N$152,6,0)</f>
        <v>93.286128368800917</v>
      </c>
      <c r="W19" s="267">
        <f>VLOOKUP($A19,'2013'!$B$117:$N$152,7,0)</f>
        <v>94.379194185472983</v>
      </c>
      <c r="X19" s="267">
        <f>VLOOKUP($A19,'2013'!$B$117:$N$152,8,0)</f>
        <v>94.192167809475805</v>
      </c>
      <c r="Y19" s="267">
        <f>VLOOKUP($A19,'2013'!$B$117:$N$152,9,0)</f>
        <v>94.785557355833348</v>
      </c>
      <c r="Z19" s="267">
        <f>VLOOKUP($A19,'2013'!$B$117:$N$152,10,0)</f>
        <v>94.347864722368428</v>
      </c>
      <c r="AA19" s="269">
        <f>VLOOKUP($A19,'2013'!$B$117:$N$152,11,0)</f>
        <v>92.19306255212885</v>
      </c>
      <c r="AB19" s="270">
        <f>VLOOKUP($A19,'2012'!$B$117:$N$153,13,0)</f>
        <v>90.57</v>
      </c>
      <c r="AC19" s="271">
        <f>VLOOKUP($A19,'2012'!$B$117:$N$153,6,0)</f>
        <v>93.756943336896143</v>
      </c>
      <c r="AD19" s="271">
        <f>VLOOKUP($A19,'2012'!$B$117:$N$153,7,0)</f>
        <v>91.73196822492622</v>
      </c>
      <c r="AE19" s="271">
        <f>VLOOKUP($A19,'2012'!$B$117:$N$153,8,0)</f>
        <v>90.081951644244853</v>
      </c>
      <c r="AF19" s="271">
        <f>VLOOKUP($A19,'2012'!$B$117:$N$153,9,0)</f>
        <v>92.642479823080734</v>
      </c>
      <c r="AG19" s="271">
        <f>VLOOKUP($A19,'2012'!$B$117:$N$153,10,0)</f>
        <v>94.82027890979758</v>
      </c>
      <c r="AH19" s="272">
        <f>VLOOKUP($A19,'2012'!$B$117:$N$153,11,0)</f>
        <v>95.781918448866051</v>
      </c>
    </row>
    <row r="20" spans="1:34" ht="20.100000000000001" customHeight="1">
      <c r="A20" s="188" t="s">
        <v>14</v>
      </c>
      <c r="B20" s="188" t="s">
        <v>282</v>
      </c>
      <c r="C20" s="212">
        <f>VLOOKUP($A20,'2015'!$C$111:$U$142,19,0)</f>
        <v>95.103710238890187</v>
      </c>
      <c r="D20" s="202">
        <f>VLOOKUP($A20,'2015'!$C$111:$U$142,6,0)</f>
        <v>95.870986667813995</v>
      </c>
      <c r="E20" s="202">
        <f>VLOOKUP($A20,'2015'!$C$111:$U$142,7,0)</f>
        <v>95.706301755593685</v>
      </c>
      <c r="F20" s="202">
        <f>VLOOKUP($A20,'2015'!$C$111:$U$142,8,0)</f>
        <v>95.672241557102353</v>
      </c>
      <c r="G20" s="202">
        <f>VLOOKUP($A20,'2015'!$C$111:$U$142,9,0)</f>
        <v>95.26814516129032</v>
      </c>
      <c r="H20" s="202">
        <f>VLOOKUP($A20,'2015'!$C$111:$U$142,10,0)</f>
        <v>95.853378378378366</v>
      </c>
      <c r="I20" s="202">
        <f>VLOOKUP($A20,'2015'!$C$111:$U$142,11,0)</f>
        <v>96.691792343387476</v>
      </c>
      <c r="J20" s="202">
        <f>VLOOKUP($A20,'2015'!$C$111:$U$142,12,0)</f>
        <v>95.740361954085017</v>
      </c>
      <c r="K20" s="214">
        <f>VLOOKUP($A20,'2015'!$C$111:$U$142,13,0)</f>
        <v>99</v>
      </c>
      <c r="L20" s="212">
        <f>VLOOKUP($A20,'2014'!$B$3:$P$38,15,0)</f>
        <v>92.696765354026581</v>
      </c>
      <c r="M20" s="202">
        <f>VLOOKUP($A20,'2014'!$B$3:$P$38,6,0)</f>
        <v>95.513958721515607</v>
      </c>
      <c r="N20" s="202">
        <f>VLOOKUP($A20,'2014'!$B$3:$P$38,7,0)</f>
        <v>95.389693391069073</v>
      </c>
      <c r="O20" s="202">
        <f>VLOOKUP($A20,'2014'!$B$3:$P$38,8,0)</f>
        <v>94.880221707327522</v>
      </c>
      <c r="P20" s="202">
        <f>VLOOKUP($A20,'2014'!$B$3:$P$38,9,0)</f>
        <v>94.079451152016176</v>
      </c>
      <c r="Q20" s="202">
        <f>VLOOKUP($A20,'2014'!$B$3:$P$38,10,0)</f>
        <v>98.277033942361115</v>
      </c>
      <c r="R20" s="202">
        <f>VLOOKUP($A20,'2014'!$B$3:$P$38,11,0)</f>
        <v>90.844806927777782</v>
      </c>
      <c r="S20" s="202">
        <f>VLOOKUP($A20,'2014'!$B$3:$P$38,12,0)</f>
        <v>95.899165074810625</v>
      </c>
      <c r="T20" s="202">
        <f>VLOOKUP($A20,'2014'!$B$3:$P$38,13,0)</f>
        <v>97.875</v>
      </c>
      <c r="U20" s="212">
        <f>VLOOKUP($A20,'2013'!$B$117:$N$152,13,0)</f>
        <v>93.215225797811897</v>
      </c>
      <c r="V20" s="202">
        <f>VLOOKUP($A20,'2013'!$B$117:$N$152,6,0)</f>
        <v>95.341435262447874</v>
      </c>
      <c r="W20" s="202">
        <f>VLOOKUP($A20,'2013'!$B$117:$N$152,7,0)</f>
        <v>94.723515179895728</v>
      </c>
      <c r="X20" s="202">
        <f>VLOOKUP($A20,'2013'!$B$117:$N$152,8,0)</f>
        <v>95.624243217312255</v>
      </c>
      <c r="Y20" s="202">
        <f>VLOOKUP($A20,'2013'!$B$117:$N$152,9,0)</f>
        <v>93.844470950000002</v>
      </c>
      <c r="Z20" s="202">
        <f>VLOOKUP($A20,'2013'!$B$117:$N$152,10,0)</f>
        <v>93.227306407812492</v>
      </c>
      <c r="AA20" s="203">
        <f>VLOOKUP($A20,'2013'!$B$117:$N$152,11,0)</f>
        <v>95.95935534500002</v>
      </c>
      <c r="AB20" s="192">
        <f>VLOOKUP($A20,'2012'!$B$117:$N$153,13,0)</f>
        <v>91.86</v>
      </c>
      <c r="AC20" s="193">
        <f>VLOOKUP($A20,'2012'!$B$117:$N$153,6,0)</f>
        <v>93.723654390661864</v>
      </c>
      <c r="AD20" s="193">
        <f>VLOOKUP($A20,'2012'!$B$117:$N$153,7,0)</f>
        <v>91.38065594943086</v>
      </c>
      <c r="AE20" s="193">
        <f>VLOOKUP($A20,'2012'!$B$117:$N$153,8,0)</f>
        <v>90.401933782499995</v>
      </c>
      <c r="AF20" s="193">
        <f>VLOOKUP($A20,'2012'!$B$117:$N$153,9,0)</f>
        <v>91.695593393238624</v>
      </c>
      <c r="AG20" s="193">
        <f>VLOOKUP($A20,'2012'!$B$117:$N$153,10,0)</f>
        <v>93.74202871197366</v>
      </c>
      <c r="AH20" s="194">
        <f>VLOOKUP($A20,'2012'!$B$117:$N$153,11,0)</f>
        <v>96.066652831892853</v>
      </c>
    </row>
    <row r="21" spans="1:34" s="546" customFormat="1" ht="20.100000000000001" customHeight="1">
      <c r="A21" s="538" t="s">
        <v>15</v>
      </c>
      <c r="B21" s="538" t="s">
        <v>282</v>
      </c>
      <c r="C21" s="539">
        <f>VLOOKUP($A21,'2015'!$C$111:$U$142,19,0)</f>
        <v>95.142559940341329</v>
      </c>
      <c r="D21" s="540">
        <f>VLOOKUP($A21,'2015'!$C$111:$U$142,6,0)</f>
        <v>96.580064665102668</v>
      </c>
      <c r="E21" s="540">
        <f>VLOOKUP($A21,'2015'!$C$111:$U$142,7,0)</f>
        <v>96.579015436950186</v>
      </c>
      <c r="F21" s="540">
        <f>VLOOKUP($A21,'2015'!$C$111:$U$142,8,0)</f>
        <v>95.518005621277879</v>
      </c>
      <c r="G21" s="540">
        <f>VLOOKUP($A21,'2015'!$C$111:$U$142,9,0)</f>
        <v>95.514063929271984</v>
      </c>
      <c r="H21" s="540">
        <f>VLOOKUP($A21,'2015'!$C$111:$U$142,10,0)</f>
        <v>95.607894736842113</v>
      </c>
      <c r="I21" s="540">
        <f>VLOOKUP($A21,'2015'!$C$111:$U$142,11,0)</f>
        <v>95.344444444444434</v>
      </c>
      <c r="J21" s="540">
        <f>VLOOKUP($A21,'2015'!$C$111:$U$142,12,0)</f>
        <v>97.640025252622479</v>
      </c>
      <c r="K21" s="541">
        <f>VLOOKUP($A21,'2015'!$C$111:$U$142,13,0)</f>
        <v>96.6</v>
      </c>
      <c r="L21" s="539">
        <f>VLOOKUP($A21,'2014'!$B$3:$P$38,15,0)</f>
        <v>92.860272049964848</v>
      </c>
      <c r="M21" s="540">
        <f>VLOOKUP($A21,'2014'!$B$3:$P$38,6,0)</f>
        <v>95.672113752783872</v>
      </c>
      <c r="N21" s="540">
        <f>VLOOKUP($A21,'2014'!$B$3:$P$38,7,0)</f>
        <v>95.510119739772506</v>
      </c>
      <c r="O21" s="540">
        <f>VLOOKUP($A21,'2014'!$B$3:$P$38,8,0)</f>
        <v>94.728295335246543</v>
      </c>
      <c r="P21" s="540">
        <f>VLOOKUP($A21,'2014'!$B$3:$P$38,9,0)</f>
        <v>94.453009655106754</v>
      </c>
      <c r="Q21" s="540">
        <f>VLOOKUP($A21,'2014'!$B$3:$P$38,10,0)</f>
        <v>93.228290959994908</v>
      </c>
      <c r="R21" s="540">
        <f>VLOOKUP($A21,'2014'!$B$3:$P$38,11,0)</f>
        <v>98.610624948749987</v>
      </c>
      <c r="S21" s="540">
        <f>VLOOKUP($A21,'2014'!$B$3:$P$38,12,0)</f>
        <v>96.291944144298455</v>
      </c>
      <c r="T21" s="540">
        <f>VLOOKUP($A21,'2014'!$B$3:$P$38,13,0)</f>
        <v>98.75</v>
      </c>
      <c r="U21" s="539">
        <f>VLOOKUP($A21,'2013'!$B$117:$N$152,13,0)</f>
        <v>93.092878714710693</v>
      </c>
      <c r="V21" s="540">
        <f>VLOOKUP($A21,'2013'!$B$117:$N$152,6,0)</f>
        <v>95.654255581634345</v>
      </c>
      <c r="W21" s="540">
        <f>VLOOKUP($A21,'2013'!$B$117:$N$152,7,0)</f>
        <v>94.887215039018727</v>
      </c>
      <c r="X21" s="540">
        <f>VLOOKUP($A21,'2013'!$B$117:$N$152,8,0)</f>
        <v>96.015937192796613</v>
      </c>
      <c r="Y21" s="540">
        <f>VLOOKUP($A21,'2013'!$B$117:$N$152,9,0)</f>
        <v>92.306152282812519</v>
      </c>
      <c r="Z21" s="540">
        <f>VLOOKUP($A21,'2013'!$B$117:$N$152,10,0)</f>
        <v>95.887177609375001</v>
      </c>
      <c r="AA21" s="542">
        <f>VLOOKUP($A21,'2013'!$B$117:$N$152,11,0)</f>
        <v>96.421296124249977</v>
      </c>
      <c r="AB21" s="543">
        <f>VLOOKUP($A21,'2012'!$B$117:$N$153,13,0)</f>
        <v>92.47</v>
      </c>
      <c r="AC21" s="544">
        <f>VLOOKUP($A21,'2012'!$B$117:$N$153,6,0)</f>
        <v>93.057515319746955</v>
      </c>
      <c r="AD21" s="544">
        <f>VLOOKUP($A21,'2012'!$B$117:$N$153,7,0)</f>
        <v>92.29045757061003</v>
      </c>
      <c r="AE21" s="544">
        <f>VLOOKUP($A21,'2012'!$B$117:$N$153,8,0)</f>
        <v>92.033929760605574</v>
      </c>
      <c r="AF21" s="544">
        <f>VLOOKUP($A21,'2012'!$B$117:$N$153,9,0)</f>
        <v>91.382934486220918</v>
      </c>
      <c r="AG21" s="544">
        <f>VLOOKUP($A21,'2012'!$B$117:$N$153,10,0)</f>
        <v>95.356276718333291</v>
      </c>
      <c r="AH21" s="545">
        <f>VLOOKUP($A21,'2012'!$B$117:$N$153,11,0)</f>
        <v>93.824573068883879</v>
      </c>
    </row>
    <row r="22" spans="1:34" ht="20.100000000000001" customHeight="1">
      <c r="A22" s="188" t="s">
        <v>16</v>
      </c>
      <c r="B22" s="188" t="s">
        <v>282</v>
      </c>
      <c r="C22" s="212">
        <f>VLOOKUP($A22,'2015'!$C$111:$U$142,19,0)</f>
        <v>95.713559513887063</v>
      </c>
      <c r="D22" s="202">
        <f>VLOOKUP($A22,'2015'!$C$111:$U$142,6,0)</f>
        <v>96.726754759203502</v>
      </c>
      <c r="E22" s="202">
        <f>VLOOKUP($A22,'2015'!$C$111:$U$142,7,0)</f>
        <v>96.649215536003695</v>
      </c>
      <c r="F22" s="202">
        <f>VLOOKUP($A22,'2015'!$C$111:$U$142,8,0)</f>
        <v>95.176461375310382</v>
      </c>
      <c r="G22" s="202">
        <f>VLOOKUP($A22,'2015'!$C$111:$U$142,9,0)</f>
        <v>95.343062180037521</v>
      </c>
      <c r="H22" s="202">
        <f>VLOOKUP($A22,'2015'!$C$111:$U$142,10,0)</f>
        <v>94.759075824617867</v>
      </c>
      <c r="I22" s="202">
        <f>VLOOKUP($A22,'2015'!$C$111:$U$142,11,0)</f>
        <v>95.527380952380952</v>
      </c>
      <c r="J22" s="202">
        <f>VLOOKUP($A22,'2015'!$C$111:$U$142,12,0)</f>
        <v>98.121969696696965</v>
      </c>
      <c r="K22" s="214">
        <f>VLOOKUP($A22,'2015'!$C$111:$U$142,13,0)</f>
        <v>98.2</v>
      </c>
      <c r="L22" s="212">
        <f>VLOOKUP($A22,'2014'!$B$3:$P$38,15,0)</f>
        <v>93.938340655077994</v>
      </c>
      <c r="M22" s="202">
        <f>VLOOKUP($A22,'2014'!$B$3:$P$38,6,0)</f>
        <v>97.024510500005988</v>
      </c>
      <c r="N22" s="202">
        <f>VLOOKUP($A22,'2014'!$B$3:$P$38,7,0)</f>
        <v>96.933695263164196</v>
      </c>
      <c r="O22" s="202">
        <f>VLOOKUP($A22,'2014'!$B$3:$P$38,8,0)</f>
        <v>96.720315351186713</v>
      </c>
      <c r="P22" s="202">
        <f>VLOOKUP($A22,'2014'!$B$3:$P$38,9,0)</f>
        <v>97.493317677027079</v>
      </c>
      <c r="Q22" s="202">
        <f>VLOOKUP($A22,'2014'!$B$3:$P$38,10,0)</f>
        <v>95.810844853013393</v>
      </c>
      <c r="R22" s="202">
        <f>VLOOKUP($A22,'2014'!$B$3:$P$38,11,0)</f>
        <v>96.231621717708322</v>
      </c>
      <c r="S22" s="202">
        <f>VLOOKUP($A22,'2014'!$B$3:$P$38,12,0)</f>
        <v>97.147075175141666</v>
      </c>
      <c r="T22" s="202">
        <f>VLOOKUP($A22,'2014'!$B$3:$P$38,13,0)</f>
        <v>98.75</v>
      </c>
      <c r="U22" s="212">
        <f>VLOOKUP($A22,'2013'!$B$117:$N$152,13,0)</f>
        <v>93.55</v>
      </c>
      <c r="V22" s="202">
        <f>VLOOKUP($A22,'2013'!$B$117:$N$152,6,0)</f>
        <v>96.223669707861077</v>
      </c>
      <c r="W22" s="202">
        <f>VLOOKUP($A22,'2013'!$B$117:$N$152,7,0)</f>
        <v>96.757187794192703</v>
      </c>
      <c r="X22" s="202">
        <f>VLOOKUP($A22,'2013'!$B$117:$N$152,8,0)</f>
        <v>96.702520568962228</v>
      </c>
      <c r="Y22" s="202">
        <f>VLOOKUP($A22,'2013'!$B$117:$N$152,9,0)</f>
        <v>96.816956772142902</v>
      </c>
      <c r="Z22" s="202">
        <f>VLOOKUP($A22,'2013'!$B$117:$N$152,10,0)</f>
        <v>96.816843165789464</v>
      </c>
      <c r="AA22" s="203">
        <f>VLOOKUP($A22,'2013'!$B$117:$N$152,11,0)</f>
        <v>95.690151621529452</v>
      </c>
      <c r="AB22" s="192">
        <f>VLOOKUP($A22,'2012'!$B$117:$N$153,13,0)</f>
        <v>92.39</v>
      </c>
      <c r="AC22" s="193">
        <f>VLOOKUP($A22,'2012'!$B$117:$N$153,6,0)</f>
        <v>95.104042609690239</v>
      </c>
      <c r="AD22" s="193">
        <f>VLOOKUP($A22,'2012'!$B$117:$N$153,7,0)</f>
        <v>91.818043380210867</v>
      </c>
      <c r="AE22" s="193">
        <f>VLOOKUP($A22,'2012'!$B$117:$N$153,8,0)</f>
        <v>91.470907913167693</v>
      </c>
      <c r="AF22" s="193">
        <f>VLOOKUP($A22,'2012'!$B$117:$N$153,9,0)</f>
        <v>91.760481514523519</v>
      </c>
      <c r="AG22" s="193">
        <f>VLOOKUP($A22,'2012'!$B$117:$N$153,10,0)</f>
        <v>92.977109766931775</v>
      </c>
      <c r="AH22" s="194">
        <f>VLOOKUP($A22,'2012'!$B$117:$N$153,11,0)</f>
        <v>98.390041839169612</v>
      </c>
    </row>
    <row r="23" spans="1:34" ht="20.100000000000001" customHeight="1">
      <c r="A23" s="188" t="s">
        <v>18</v>
      </c>
      <c r="B23" s="188" t="s">
        <v>282</v>
      </c>
      <c r="C23" s="212">
        <f>VLOOKUP($A23,'2015'!$C$111:$U$142,19,0)</f>
        <v>94.955502887868505</v>
      </c>
      <c r="D23" s="202">
        <f>VLOOKUP($A23,'2015'!$C$111:$U$142,6,0)</f>
        <v>96.718841923525858</v>
      </c>
      <c r="E23" s="202">
        <f>VLOOKUP($A23,'2015'!$C$111:$U$142,7,0)</f>
        <v>96.888254656343008</v>
      </c>
      <c r="F23" s="202">
        <f>VLOOKUP($A23,'2015'!$C$111:$U$142,8,0)</f>
        <v>95.7071069554747</v>
      </c>
      <c r="G23" s="202">
        <f>VLOOKUP($A23,'2015'!$C$111:$U$142,9,0)</f>
        <v>95.712179487179469</v>
      </c>
      <c r="H23" s="202">
        <f>VLOOKUP($A23,'2015'!$C$111:$U$142,10,0)</f>
        <v>94.733310888803373</v>
      </c>
      <c r="I23" s="202">
        <f>VLOOKUP($A23,'2015'!$C$111:$U$142,11,0)</f>
        <v>98.173715932914035</v>
      </c>
      <c r="J23" s="202">
        <f>VLOOKUP($A23,'2015'!$C$111:$U$142,12,0)</f>
        <v>98.069402357211288</v>
      </c>
      <c r="K23" s="214">
        <f>VLOOKUP($A23,'2015'!$C$111:$U$142,13,0)</f>
        <v>93.5</v>
      </c>
      <c r="L23" s="212">
        <f>VLOOKUP($A23,'2014'!$B$3:$P$38,15,0)</f>
        <v>93.256580805093719</v>
      </c>
      <c r="M23" s="202">
        <f>VLOOKUP($A23,'2014'!$B$3:$P$38,6,0)</f>
        <v>95.227583816014814</v>
      </c>
      <c r="N23" s="202">
        <f>VLOOKUP($A23,'2014'!$B$3:$P$38,7,0)</f>
        <v>94.9764040168577</v>
      </c>
      <c r="O23" s="202">
        <f>VLOOKUP($A23,'2014'!$B$3:$P$38,8,0)</f>
        <v>95.297778580211641</v>
      </c>
      <c r="P23" s="202">
        <f>VLOOKUP($A23,'2014'!$B$3:$P$38,9,0)</f>
        <v>95.839484154807764</v>
      </c>
      <c r="Q23" s="202">
        <f>VLOOKUP($A23,'2014'!$B$3:$P$38,10,0)</f>
        <v>94.473757232558143</v>
      </c>
      <c r="R23" s="202">
        <f>VLOOKUP($A23,'2014'!$B$3:$P$38,11,0)</f>
        <v>94.956772736743503</v>
      </c>
      <c r="S23" s="202">
        <f>VLOOKUP($A23,'2014'!$B$3:$P$38,12,0)</f>
        <v>94.655029453503758</v>
      </c>
      <c r="T23" s="202">
        <f>VLOOKUP($A23,'2014'!$B$3:$P$38,13,0)</f>
        <v>100</v>
      </c>
      <c r="U23" s="212">
        <f>VLOOKUP($A23,'2013'!$B$117:$N$152,13,0)</f>
        <v>93.55</v>
      </c>
      <c r="V23" s="202">
        <f>VLOOKUP($A23,'2013'!$B$117:$N$152,6,0)</f>
        <v>94.75662924912649</v>
      </c>
      <c r="W23" s="202">
        <f>VLOOKUP($A23,'2013'!$B$117:$N$152,7,0)</f>
        <v>95.629443947935783</v>
      </c>
      <c r="X23" s="202">
        <f>VLOOKUP($A23,'2013'!$B$117:$N$152,8,0)</f>
        <v>95.888515110080661</v>
      </c>
      <c r="Y23" s="202">
        <f>VLOOKUP($A23,'2013'!$B$117:$N$152,9,0)</f>
        <v>95.687231126666674</v>
      </c>
      <c r="Z23" s="202">
        <f>VLOOKUP($A23,'2013'!$B$117:$N$152,10,0)</f>
        <v>94.582618805882362</v>
      </c>
      <c r="AA23" s="203">
        <f>VLOOKUP($A23,'2013'!$B$117:$N$152,11,0)</f>
        <v>93.883814550317197</v>
      </c>
      <c r="AB23" s="192">
        <f>VLOOKUP($A23,'2012'!$B$117:$N$153,13,0)</f>
        <v>92.9</v>
      </c>
      <c r="AC23" s="193">
        <f>VLOOKUP($A23,'2012'!$B$117:$N$153,6,0)</f>
        <v>94.568554899305497</v>
      </c>
      <c r="AD23" s="193">
        <f>VLOOKUP($A23,'2012'!$B$117:$N$153,7,0)</f>
        <v>92.539508561923455</v>
      </c>
      <c r="AE23" s="193">
        <f>VLOOKUP($A23,'2012'!$B$117:$N$153,8,0)</f>
        <v>93.64746702450293</v>
      </c>
      <c r="AF23" s="193">
        <f>VLOOKUP($A23,'2012'!$B$117:$N$153,9,0)</f>
        <v>91.258390273255785</v>
      </c>
      <c r="AG23" s="193">
        <f>VLOOKUP($A23,'2012'!$B$117:$N$153,10,0)</f>
        <v>91.348150382941142</v>
      </c>
      <c r="AH23" s="194">
        <f>VLOOKUP($A23,'2012'!$B$117:$N$153,11,0)</f>
        <v>96.597601236687524</v>
      </c>
    </row>
    <row r="24" spans="1:34" s="273" customFormat="1" ht="20.100000000000001" customHeight="1">
      <c r="A24" s="189" t="s">
        <v>19</v>
      </c>
      <c r="B24" s="189" t="s">
        <v>282</v>
      </c>
      <c r="C24" s="266">
        <f>VLOOKUP($A24,'2015'!$C$111:$U$142,19,0)</f>
        <v>93.413245756062736</v>
      </c>
      <c r="D24" s="267">
        <f>VLOOKUP($A24,'2015'!$C$111:$U$142,6,0)</f>
        <v>95.195787536887551</v>
      </c>
      <c r="E24" s="267">
        <f>VLOOKUP($A24,'2015'!$C$111:$U$142,7,0)</f>
        <v>95.048197407250044</v>
      </c>
      <c r="F24" s="267">
        <f>VLOOKUP($A24,'2015'!$C$111:$U$142,8,0)</f>
        <v>94.46331400671346</v>
      </c>
      <c r="G24" s="267">
        <f>VLOOKUP($A24,'2015'!$C$111:$U$142,9,0)</f>
        <v>93.140189873417739</v>
      </c>
      <c r="H24" s="267">
        <f>VLOOKUP($A24,'2015'!$C$111:$U$142,10,0)</f>
        <v>95.694011799410049</v>
      </c>
      <c r="I24" s="267">
        <f>VLOOKUP($A24,'2015'!$C$111:$U$142,11,0)</f>
        <v>96.803571428571431</v>
      </c>
      <c r="J24" s="267">
        <f>VLOOKUP($A24,'2015'!$C$111:$U$142,12,0)</f>
        <v>95.633080807786612</v>
      </c>
      <c r="K24" s="268">
        <f>VLOOKUP($A24,'2015'!$C$111:$U$142,13,0)</f>
        <v>98</v>
      </c>
      <c r="L24" s="266">
        <f>VLOOKUP($A24,'2014'!$B$3:$P$38,15,0)</f>
        <v>91.105098439637331</v>
      </c>
      <c r="M24" s="267">
        <f>VLOOKUP($A24,'2014'!$B$3:$P$38,6,0)</f>
        <v>93.422688899819306</v>
      </c>
      <c r="N24" s="267">
        <f>VLOOKUP($A24,'2014'!$B$3:$P$38,7,0)</f>
        <v>93.168619894546651</v>
      </c>
      <c r="O24" s="267">
        <f>VLOOKUP($A24,'2014'!$B$3:$P$38,8,0)</f>
        <v>93.536161492492297</v>
      </c>
      <c r="P24" s="267">
        <f>VLOOKUP($A24,'2014'!$B$3:$P$38,9,0)</f>
        <v>90.787019144512286</v>
      </c>
      <c r="Q24" s="267">
        <f>VLOOKUP($A24,'2014'!$B$3:$P$38,10,0)</f>
        <v>96.32083010736406</v>
      </c>
      <c r="R24" s="267">
        <f>VLOOKUP($A24,'2014'!$B$3:$P$38,11,0)</f>
        <v>98.087051713636342</v>
      </c>
      <c r="S24" s="267">
        <f>VLOOKUP($A24,'2014'!$B$3:$P$38,12,0)</f>
        <v>92.801078296601005</v>
      </c>
      <c r="T24" s="267">
        <f>VLOOKUP($A24,'2014'!$B$3:$P$38,13,0)</f>
        <v>98.25</v>
      </c>
      <c r="U24" s="266">
        <f>VLOOKUP($A24,'2013'!$B$117:$N$152,13,0)</f>
        <v>91.502431482647239</v>
      </c>
      <c r="V24" s="267">
        <f>VLOOKUP($A24,'2013'!$B$117:$N$152,6,0)</f>
        <v>94.325889393134048</v>
      </c>
      <c r="W24" s="267">
        <f>VLOOKUP($A24,'2013'!$B$117:$N$152,7,0)</f>
        <v>93.537257986268074</v>
      </c>
      <c r="X24" s="267">
        <f>VLOOKUP($A24,'2013'!$B$117:$N$152,8,0)</f>
        <v>94.306672325186284</v>
      </c>
      <c r="Y24" s="267">
        <f>VLOOKUP($A24,'2013'!$B$117:$N$152,9,0)</f>
        <v>93.747668960483864</v>
      </c>
      <c r="Z24" s="267">
        <f>VLOOKUP($A24,'2013'!$B$117:$N$152,10,0)</f>
        <v>90.845130737202382</v>
      </c>
      <c r="AA24" s="269">
        <f>VLOOKUP($A24,'2013'!$B$117:$N$152,11,0)</f>
        <v>95.114520800000022</v>
      </c>
      <c r="AB24" s="270">
        <f>VLOOKUP($A24,'2012'!$B$117:$N$153,13,0)</f>
        <v>90.28</v>
      </c>
      <c r="AC24" s="271">
        <f>VLOOKUP($A24,'2012'!$B$117:$N$153,6,0)</f>
        <v>92.014506530765431</v>
      </c>
      <c r="AD24" s="271">
        <f>VLOOKUP($A24,'2012'!$B$117:$N$153,7,0)</f>
        <v>89.515752156575502</v>
      </c>
      <c r="AE24" s="271">
        <f>VLOOKUP($A24,'2012'!$B$117:$N$153,8,0)</f>
        <v>91.356050714849971</v>
      </c>
      <c r="AF24" s="271">
        <f>VLOOKUP($A24,'2012'!$B$117:$N$153,9,0)</f>
        <v>87.037401569642839</v>
      </c>
      <c r="AG24" s="271">
        <f>VLOOKUP($A24,'2012'!$B$117:$N$153,10,0)</f>
        <v>89.274820775652131</v>
      </c>
      <c r="AH24" s="272">
        <f>VLOOKUP($A24,'2012'!$B$117:$N$153,11,0)</f>
        <v>94.513260904955359</v>
      </c>
    </row>
    <row r="25" spans="1:34" ht="20.100000000000001" customHeight="1">
      <c r="A25" s="188" t="s">
        <v>20</v>
      </c>
      <c r="B25" s="188" t="s">
        <v>282</v>
      </c>
      <c r="C25" s="212">
        <f>VLOOKUP($A25,'2015'!$C$111:$U$142,19,0)</f>
        <v>95.713559513887063</v>
      </c>
      <c r="D25" s="202">
        <f>VLOOKUP($A25,'2015'!$C$111:$U$142,6,0)</f>
        <v>97.634190867048133</v>
      </c>
      <c r="E25" s="202">
        <f>VLOOKUP($A25,'2015'!$C$111:$U$142,7,0)</f>
        <v>97.620200912682236</v>
      </c>
      <c r="F25" s="202">
        <f>VLOOKUP($A25,'2015'!$C$111:$U$142,8,0)</f>
        <v>96.961403508771923</v>
      </c>
      <c r="G25" s="202">
        <f>VLOOKUP($A25,'2015'!$C$111:$U$142,9,0)</f>
        <v>96.326293103448279</v>
      </c>
      <c r="H25" s="202">
        <f>VLOOKUP($A25,'2015'!$C$111:$U$142,10,0)</f>
        <v>97.081081081081081</v>
      </c>
      <c r="I25" s="202">
        <f>VLOOKUP($A25,'2015'!$C$111:$U$142,11,0)</f>
        <v>98.667105263157907</v>
      </c>
      <c r="J25" s="202">
        <f>VLOOKUP($A25,'2015'!$C$111:$U$142,12,0)</f>
        <v>98.278998316592578</v>
      </c>
      <c r="K25" s="214">
        <f>VLOOKUP($A25,'2015'!$C$111:$U$142,13,0)</f>
        <v>97.9</v>
      </c>
      <c r="L25" s="212">
        <f>VLOOKUP($A25,'2014'!$B$3:$P$38,15,0)</f>
        <v>93.192506054664776</v>
      </c>
      <c r="M25" s="202">
        <f>VLOOKUP($A25,'2014'!$B$3:$P$38,6,0)</f>
        <v>96.546414818431387</v>
      </c>
      <c r="N25" s="202">
        <f>VLOOKUP($A25,'2014'!$B$3:$P$38,7,0)</f>
        <v>96.364647177296206</v>
      </c>
      <c r="O25" s="202">
        <f>VLOOKUP($A25,'2014'!$B$3:$P$38,8,0)</f>
        <v>96.363114487929664</v>
      </c>
      <c r="P25" s="202">
        <f>VLOOKUP($A25,'2014'!$B$3:$P$38,9,0)</f>
        <v>97.274955371103403</v>
      </c>
      <c r="Q25" s="202">
        <f>VLOOKUP($A25,'2014'!$B$3:$P$38,10,0)</f>
        <v>95.108461218243264</v>
      </c>
      <c r="R25" s="202">
        <f>VLOOKUP($A25,'2014'!$B$3:$P$38,11,0)</f>
        <v>96.022872369736845</v>
      </c>
      <c r="S25" s="202">
        <f>VLOOKUP($A25,'2014'!$B$3:$P$38,12,0)</f>
        <v>96.366179866662748</v>
      </c>
      <c r="T25" s="202">
        <f>VLOOKUP($A25,'2014'!$B$3:$P$38,13,0)</f>
        <v>100</v>
      </c>
      <c r="U25" s="212">
        <f>VLOOKUP($A25,'2013'!$B$117:$N$152,13,0)</f>
        <v>93.490000000000009</v>
      </c>
      <c r="V25" s="202">
        <f>VLOOKUP($A25,'2013'!$B$117:$N$152,6,0)</f>
        <v>96.007489202058451</v>
      </c>
      <c r="W25" s="202">
        <f>VLOOKUP($A25,'2013'!$B$117:$N$152,7,0)</f>
        <v>96.891148667084011</v>
      </c>
      <c r="X25" s="202">
        <f>VLOOKUP($A25,'2013'!$B$117:$N$152,8,0)</f>
        <v>96.586812559504864</v>
      </c>
      <c r="Y25" s="202">
        <f>VLOOKUP($A25,'2013'!$B$117:$N$152,9,0)</f>
        <v>97.074086149999999</v>
      </c>
      <c r="Z25" s="202">
        <f>VLOOKUP($A25,'2013'!$B$117:$N$152,10,0)</f>
        <v>97.453561795312496</v>
      </c>
      <c r="AA25" s="203">
        <f>VLOOKUP($A25,'2013'!$B$117:$N$152,11,0)</f>
        <v>95.123829737032878</v>
      </c>
      <c r="AB25" s="192">
        <f>VLOOKUP($A25,'2012'!$B$117:$N$153,13,0)</f>
        <v>92.19</v>
      </c>
      <c r="AC25" s="193">
        <f>VLOOKUP($A25,'2012'!$B$117:$N$153,6,0)</f>
        <v>94.08948166553796</v>
      </c>
      <c r="AD25" s="193">
        <f>VLOOKUP($A25,'2012'!$B$117:$N$153,7,0)</f>
        <v>92.986098495781249</v>
      </c>
      <c r="AE25" s="193">
        <f>VLOOKUP($A25,'2012'!$B$117:$N$153,8,0)</f>
        <v>92.008541545999975</v>
      </c>
      <c r="AF25" s="193">
        <f>VLOOKUP($A25,'2012'!$B$117:$N$153,9,0)</f>
        <v>93.911446735852223</v>
      </c>
      <c r="AG25" s="193">
        <f>VLOOKUP($A25,'2012'!$B$117:$N$153,10,0)</f>
        <v>93.989968470769227</v>
      </c>
      <c r="AH25" s="194">
        <f>VLOOKUP($A25,'2012'!$B$117:$N$153,11,0)</f>
        <v>95.192864835294657</v>
      </c>
    </row>
    <row r="26" spans="1:34" ht="20.100000000000001" customHeight="1">
      <c r="A26" s="188" t="s">
        <v>21</v>
      </c>
      <c r="B26" s="188" t="s">
        <v>282</v>
      </c>
      <c r="C26" s="212">
        <f>VLOOKUP($A26,'2015'!$C$111:$U$142,19,0)</f>
        <v>95.713559513887063</v>
      </c>
      <c r="D26" s="202">
        <f>VLOOKUP($A26,'2015'!$C$111:$U$142,6,0)</f>
        <v>98.118951796830885</v>
      </c>
      <c r="E26" s="202">
        <f>VLOOKUP($A26,'2015'!$C$111:$U$142,7,0)</f>
        <v>98.156791365085141</v>
      </c>
      <c r="F26" s="202">
        <f>VLOOKUP($A26,'2015'!$C$111:$U$142,8,0)</f>
        <v>97.115855457227127</v>
      </c>
      <c r="G26" s="202">
        <f>VLOOKUP($A26,'2015'!$C$111:$U$142,9,0)</f>
        <v>97.805232558139537</v>
      </c>
      <c r="H26" s="202">
        <f>VLOOKUP($A26,'2015'!$C$111:$U$142,10,0)</f>
        <v>95.991246983105384</v>
      </c>
      <c r="I26" s="202">
        <f>VLOOKUP($A26,'2015'!$C$111:$U$142,11,0)</f>
        <v>97.238095238095241</v>
      </c>
      <c r="J26" s="202">
        <f>VLOOKUP($A26,'2015'!$C$111:$U$142,12,0)</f>
        <v>99.197727272943169</v>
      </c>
      <c r="K26" s="214">
        <f>VLOOKUP($A26,'2015'!$C$111:$U$142,13,0)</f>
        <v>97.4</v>
      </c>
      <c r="L26" s="212">
        <f>VLOOKUP($A26,'2014'!$B$3:$P$38,15,0)</f>
        <v>92.749173446354959</v>
      </c>
      <c r="M26" s="202">
        <f>VLOOKUP($A26,'2014'!$B$3:$P$38,6,0)</f>
        <v>96.676338506936418</v>
      </c>
      <c r="N26" s="202">
        <f>VLOOKUP($A26,'2014'!$B$3:$P$38,7,0)</f>
        <v>96.665882638880447</v>
      </c>
      <c r="O26" s="202">
        <f>VLOOKUP($A26,'2014'!$B$3:$P$38,8,0)</f>
        <v>96.82394698070965</v>
      </c>
      <c r="P26" s="202">
        <f>VLOOKUP($A26,'2014'!$B$3:$P$38,9,0)</f>
        <v>95.827802350595334</v>
      </c>
      <c r="Q26" s="202">
        <f>VLOOKUP($A26,'2014'!$B$3:$P$38,10,0)</f>
        <v>97.555526767452847</v>
      </c>
      <c r="R26" s="202">
        <f>VLOOKUP($A26,'2014'!$B$3:$P$38,11,0)</f>
        <v>98.620043789999983</v>
      </c>
      <c r="S26" s="202">
        <f>VLOOKUP($A26,'2014'!$B$3:$P$38,12,0)</f>
        <v>96.507818297051244</v>
      </c>
      <c r="T26" s="202">
        <f>VLOOKUP($A26,'2014'!$B$3:$P$38,13,0)</f>
        <v>96.875</v>
      </c>
      <c r="U26" s="212">
        <f>VLOOKUP($A26,'2013'!$B$117:$N$152,13,0)</f>
        <v>93.528919144378293</v>
      </c>
      <c r="V26" s="202">
        <f>VLOOKUP($A26,'2013'!$B$117:$N$152,6,0)</f>
        <v>95.197417020967578</v>
      </c>
      <c r="W26" s="202">
        <f>VLOOKUP($A26,'2013'!$B$117:$N$152,7,0)</f>
        <v>95.602115522621645</v>
      </c>
      <c r="X26" s="202">
        <f>VLOOKUP($A26,'2013'!$B$117:$N$152,8,0)</f>
        <v>96.809156078243646</v>
      </c>
      <c r="Y26" s="202">
        <f>VLOOKUP($A26,'2013'!$B$117:$N$152,9,0)</f>
        <v>93.044551303977315</v>
      </c>
      <c r="Z26" s="202">
        <f>VLOOKUP($A26,'2013'!$B$117:$N$152,10,0)</f>
        <v>97.505494762499993</v>
      </c>
      <c r="AA26" s="203">
        <f>VLOOKUP($A26,'2013'!$B$117:$N$152,11,0)</f>
        <v>94.792718519313496</v>
      </c>
      <c r="AB26" s="192">
        <f>VLOOKUP($A26,'2012'!$B$117:$N$153,13,0)</f>
        <v>91.95</v>
      </c>
      <c r="AC26" s="193">
        <f>VLOOKUP($A26,'2012'!$B$117:$N$153,6,0)</f>
        <v>94.520112613989767</v>
      </c>
      <c r="AD26" s="193">
        <f>VLOOKUP($A26,'2012'!$B$117:$N$153,7,0)</f>
        <v>91.499798112577722</v>
      </c>
      <c r="AE26" s="193">
        <f>VLOOKUP($A26,'2012'!$B$117:$N$153,8,0)</f>
        <v>92.096239448639295</v>
      </c>
      <c r="AF26" s="193">
        <f>VLOOKUP($A26,'2012'!$B$117:$N$153,9,0)</f>
        <v>91.443148893177067</v>
      </c>
      <c r="AG26" s="193">
        <f>VLOOKUP($A26,'2012'!$B$117:$N$153,10,0)</f>
        <v>89.203813936514692</v>
      </c>
      <c r="AH26" s="194">
        <f>VLOOKUP($A26,'2012'!$B$117:$N$153,11,0)</f>
        <v>97.540427115401798</v>
      </c>
    </row>
    <row r="27" spans="1:34" ht="20.100000000000001" customHeight="1">
      <c r="A27" s="188" t="s">
        <v>22</v>
      </c>
      <c r="B27" s="188" t="s">
        <v>282</v>
      </c>
      <c r="C27" s="212">
        <f>VLOOKUP($A27,'2015'!$C$111:$U$142,19,0)</f>
        <v>94.840296371253686</v>
      </c>
      <c r="D27" s="202">
        <f>VLOOKUP($A27,'2015'!$C$111:$U$142,6,0)</f>
        <v>97.495952169332412</v>
      </c>
      <c r="E27" s="202">
        <f>VLOOKUP($A27,'2015'!$C$111:$U$142,7,0)</f>
        <v>97.427318072981492</v>
      </c>
      <c r="F27" s="202">
        <f>VLOOKUP($A27,'2015'!$C$111:$U$142,8,0)</f>
        <v>96.426774193548383</v>
      </c>
      <c r="G27" s="202">
        <f>VLOOKUP($A27,'2015'!$C$111:$U$142,9,0)</f>
        <v>97.403488372093037</v>
      </c>
      <c r="H27" s="202">
        <f>VLOOKUP($A27,'2015'!$C$111:$U$142,10,0)</f>
        <v>94.730102040816334</v>
      </c>
      <c r="I27" s="202">
        <f>VLOOKUP($A27,'2015'!$C$111:$U$142,11,0)</f>
        <v>96.383749999999992</v>
      </c>
      <c r="J27" s="202">
        <f>VLOOKUP($A27,'2015'!$C$111:$U$142,12,0)</f>
        <v>98.42786195241456</v>
      </c>
      <c r="K27" s="214">
        <f>VLOOKUP($A27,'2015'!$C$111:$U$142,13,0)</f>
        <v>98.8</v>
      </c>
      <c r="L27" s="212">
        <f>VLOOKUP($A27,'2014'!$B$3:$P$38,15,0)</f>
        <v>92.722922785257666</v>
      </c>
      <c r="M27" s="202">
        <f>VLOOKUP($A27,'2014'!$B$3:$P$38,6,0)</f>
        <v>95.601902122631728</v>
      </c>
      <c r="N27" s="202">
        <f>VLOOKUP($A27,'2014'!$B$3:$P$38,7,0)</f>
        <v>95.502002234349192</v>
      </c>
      <c r="O27" s="202">
        <f>VLOOKUP($A27,'2014'!$B$3:$P$38,8,0)</f>
        <v>96.751774470536446</v>
      </c>
      <c r="P27" s="202">
        <f>VLOOKUP($A27,'2014'!$B$3:$P$38,9,0)</f>
        <v>97.030972811249782</v>
      </c>
      <c r="Q27" s="202">
        <f>VLOOKUP($A27,'2014'!$B$3:$P$38,10,0)</f>
        <v>96.957704656914899</v>
      </c>
      <c r="R27" s="202">
        <f>VLOOKUP($A27,'2014'!$B$3:$P$38,11,0)</f>
        <v>95.207730179545436</v>
      </c>
      <c r="S27" s="202">
        <f>VLOOKUP($A27,'2014'!$B$3:$P$38,12,0)</f>
        <v>94.252229998161951</v>
      </c>
      <c r="T27" s="202">
        <f>VLOOKUP($A27,'2014'!$B$3:$P$38,13,0)</f>
        <v>97.5</v>
      </c>
      <c r="U27" s="212">
        <f>VLOOKUP($A27,'2013'!$B$117:$N$152,13,0)</f>
        <v>92.858460223543375</v>
      </c>
      <c r="V27" s="202">
        <f>VLOOKUP($A27,'2013'!$B$117:$N$152,6,0)</f>
        <v>95.529027560521456</v>
      </c>
      <c r="W27" s="202">
        <f>VLOOKUP($A27,'2013'!$B$117:$N$152,7,0)</f>
        <v>94.966568794542894</v>
      </c>
      <c r="X27" s="202">
        <f>VLOOKUP($A27,'2013'!$B$117:$N$152,8,0)</f>
        <v>95.363486214634506</v>
      </c>
      <c r="Y27" s="202">
        <f>VLOOKUP($A27,'2013'!$B$117:$N$152,9,0)</f>
        <v>94.316988940909113</v>
      </c>
      <c r="Z27" s="202">
        <f>VLOOKUP($A27,'2013'!$B$117:$N$152,10,0)</f>
        <v>94.674239878947347</v>
      </c>
      <c r="AA27" s="203">
        <f>VLOOKUP($A27,'2013'!$B$117:$N$152,11,0)</f>
        <v>96.091486326500018</v>
      </c>
      <c r="AB27" s="192">
        <f>VLOOKUP($A27,'2012'!$B$117:$N$153,13,0)</f>
        <v>91.62</v>
      </c>
      <c r="AC27" s="193">
        <f>VLOOKUP($A27,'2012'!$B$117:$N$153,6,0)</f>
        <v>91.901726549689101</v>
      </c>
      <c r="AD27" s="193">
        <f>VLOOKUP($A27,'2012'!$B$117:$N$153,7,0)</f>
        <v>91.70863830139605</v>
      </c>
      <c r="AE27" s="193">
        <f>VLOOKUP($A27,'2012'!$B$117:$N$153,8,0)</f>
        <v>91.426436791444502</v>
      </c>
      <c r="AF27" s="193">
        <f>VLOOKUP($A27,'2012'!$B$117:$N$153,9,0)</f>
        <v>91.647180662393609</v>
      </c>
      <c r="AG27" s="193">
        <f>VLOOKUP($A27,'2012'!$B$117:$N$153,10,0)</f>
        <v>92.883099264374977</v>
      </c>
      <c r="AH27" s="194">
        <f>VLOOKUP($A27,'2012'!$B$117:$N$153,11,0)</f>
        <v>92.094814797982139</v>
      </c>
    </row>
    <row r="28" spans="1:34" ht="20.100000000000001" customHeight="1">
      <c r="A28" s="188" t="s">
        <v>24</v>
      </c>
      <c r="B28" s="188" t="s">
        <v>282</v>
      </c>
      <c r="C28" s="212">
        <f>VLOOKUP($A28,'2015'!$C$111:$U$142,19,0)</f>
        <v>95.605273693387431</v>
      </c>
      <c r="D28" s="202">
        <f>VLOOKUP($A28,'2015'!$C$111:$U$142,6,0)</f>
        <v>95.995061001777174</v>
      </c>
      <c r="E28" s="202">
        <f>VLOOKUP($A28,'2015'!$C$111:$U$142,7,0)</f>
        <v>95.852695791344402</v>
      </c>
      <c r="F28" s="202">
        <f>VLOOKUP($A28,'2015'!$C$111:$U$142,8,0)</f>
        <v>95.548278787597042</v>
      </c>
      <c r="G28" s="202">
        <f>VLOOKUP($A28,'2015'!$C$111:$U$142,9,0)</f>
        <v>96.496568627450998</v>
      </c>
      <c r="H28" s="202">
        <f>VLOOKUP($A28,'2015'!$C$111:$U$142,10,0)</f>
        <v>93.571171651113232</v>
      </c>
      <c r="I28" s="202">
        <f>VLOOKUP($A28,'2015'!$C$111:$U$142,11,0)</f>
        <v>96.356249999999989</v>
      </c>
      <c r="J28" s="202">
        <f>VLOOKUP($A28,'2015'!$C$111:$U$142,12,0)</f>
        <v>96.157112795091749</v>
      </c>
      <c r="K28" s="214">
        <f>VLOOKUP($A28,'2015'!$C$111:$U$142,13,0)</f>
        <v>98.7</v>
      </c>
      <c r="L28" s="212">
        <f>VLOOKUP($A28,'2014'!$B$3:$P$38,15,0)</f>
        <v>92.766594156823118</v>
      </c>
      <c r="M28" s="202">
        <f>VLOOKUP($A28,'2014'!$B$3:$P$38,6,0)</f>
        <v>96.47104010485819</v>
      </c>
      <c r="N28" s="202">
        <f>VLOOKUP($A28,'2014'!$B$3:$P$38,7,0)</f>
        <v>96.515568531429679</v>
      </c>
      <c r="O28" s="202">
        <f>VLOOKUP($A28,'2014'!$B$3:$P$38,8,0)</f>
        <v>96.246553996261412</v>
      </c>
      <c r="P28" s="202">
        <f>VLOOKUP($A28,'2014'!$B$3:$P$38,9,0)</f>
        <v>97.445085446759336</v>
      </c>
      <c r="Q28" s="202">
        <f>VLOOKUP($A28,'2014'!$B$3:$P$38,10,0)</f>
        <v>93.728931893491634</v>
      </c>
      <c r="R28" s="202">
        <f>VLOOKUP($A28,'2014'!$B$3:$P$38,11,0)</f>
        <v>97.406468061111099</v>
      </c>
      <c r="S28" s="202">
        <f>VLOOKUP($A28,'2014'!$B$3:$P$38,12,0)</f>
        <v>96.784583066597946</v>
      </c>
      <c r="T28" s="202">
        <f>VLOOKUP($A28,'2014'!$B$3:$P$38,13,0)</f>
        <v>95.625</v>
      </c>
      <c r="U28" s="212">
        <f>VLOOKUP($A28,'2013'!$B$117:$N$152,13,0)</f>
        <v>93.148786968410448</v>
      </c>
      <c r="V28" s="202">
        <f>VLOOKUP($A28,'2013'!$B$117:$N$152,6,0)</f>
        <v>95.537490273159321</v>
      </c>
      <c r="W28" s="202">
        <f>VLOOKUP($A28,'2013'!$B$117:$N$152,7,0)</f>
        <v>96.110944034318678</v>
      </c>
      <c r="X28" s="202">
        <f>VLOOKUP($A28,'2013'!$B$117:$N$152,8,0)</f>
        <v>96.0872421141693</v>
      </c>
      <c r="Y28" s="202">
        <f>VLOOKUP($A28,'2013'!$B$117:$N$152,9,0)</f>
        <v>94.909348891999997</v>
      </c>
      <c r="Z28" s="202">
        <f>VLOOKUP($A28,'2013'!$B$117:$N$152,10,0)</f>
        <v>98.331141394642842</v>
      </c>
      <c r="AA28" s="203">
        <f>VLOOKUP($A28,'2013'!$B$117:$N$152,11,0)</f>
        <v>94.964036511999964</v>
      </c>
      <c r="AB28" s="192">
        <f>VLOOKUP($A28,'2012'!$B$117:$N$153,13,0)</f>
        <v>92.16</v>
      </c>
      <c r="AC28" s="193">
        <f>VLOOKUP($A28,'2012'!$B$117:$N$153,6,0)</f>
        <v>93.538768204791651</v>
      </c>
      <c r="AD28" s="193">
        <f>VLOOKUP($A28,'2012'!$B$117:$N$153,7,0)</f>
        <v>93.581963491717261</v>
      </c>
      <c r="AE28" s="193">
        <f>VLOOKUP($A28,'2012'!$B$117:$N$153,8,0)</f>
        <v>93.637730012212486</v>
      </c>
      <c r="AF28" s="193">
        <f>VLOOKUP($A28,'2012'!$B$117:$N$153,9,0)</f>
        <v>93.065217342812474</v>
      </c>
      <c r="AG28" s="193">
        <f>VLOOKUP($A28,'2012'!$B$117:$N$153,10,0)</f>
        <v>94.835314978035697</v>
      </c>
      <c r="AH28" s="194">
        <f>VLOOKUP($A28,'2012'!$B$117:$N$153,11,0)</f>
        <v>93.495572917866042</v>
      </c>
    </row>
    <row r="29" spans="1:34" ht="20.100000000000001" customHeight="1">
      <c r="A29" s="188" t="s">
        <v>25</v>
      </c>
      <c r="B29" s="188" t="s">
        <v>282</v>
      </c>
      <c r="C29" s="212">
        <f>VLOOKUP($A29,'2015'!$C$111:$U$142,19,0)</f>
        <v>95.057682782449334</v>
      </c>
      <c r="D29" s="202">
        <f>VLOOKUP($A29,'2015'!$C$111:$U$142,6,0)</f>
        <v>97.292959806436684</v>
      </c>
      <c r="E29" s="202">
        <f>VLOOKUP($A29,'2015'!$C$111:$U$142,7,0)</f>
        <v>97.150484006775457</v>
      </c>
      <c r="F29" s="202">
        <f>VLOOKUP($A29,'2015'!$C$111:$U$142,8,0)</f>
        <v>96.831818181818178</v>
      </c>
      <c r="G29" s="202">
        <f>VLOOKUP($A29,'2015'!$C$111:$U$142,9,0)</f>
        <v>97.144565217391303</v>
      </c>
      <c r="H29" s="202">
        <f>VLOOKUP($A29,'2015'!$C$111:$U$142,10,0)</f>
        <v>95.80119047619047</v>
      </c>
      <c r="I29" s="202">
        <f>VLOOKUP($A29,'2015'!$C$111:$U$142,11,0)</f>
        <v>97.557500000000005</v>
      </c>
      <c r="J29" s="202">
        <f>VLOOKUP($A29,'2015'!$C$111:$U$142,12,0)</f>
        <v>97.469149831732736</v>
      </c>
      <c r="K29" s="214">
        <f>VLOOKUP($A29,'2015'!$C$111:$U$142,13,0)</f>
        <v>100</v>
      </c>
      <c r="L29" s="212">
        <f>VLOOKUP($A29,'2014'!$B$3:$P$38,15,0)</f>
        <v>93.120276917768123</v>
      </c>
      <c r="M29" s="202">
        <f>VLOOKUP($A29,'2014'!$B$3:$P$38,6,0)</f>
        <v>95.057682782449334</v>
      </c>
      <c r="N29" s="202">
        <f>VLOOKUP($A29,'2014'!$B$3:$P$38,7,0)</f>
        <v>94.863350297315094</v>
      </c>
      <c r="O29" s="202">
        <f>VLOOKUP($A29,'2014'!$B$3:$P$38,8,0)</f>
        <v>94.517934261365511</v>
      </c>
      <c r="P29" s="202">
        <f>VLOOKUP($A29,'2014'!$B$3:$P$38,9,0)</f>
        <v>93.991353914186803</v>
      </c>
      <c r="Q29" s="202">
        <f>VLOOKUP($A29,'2014'!$B$3:$P$38,10,0)</f>
        <v>93.259083791071447</v>
      </c>
      <c r="R29" s="202">
        <f>VLOOKUP($A29,'2014'!$B$3:$P$38,11,0)</f>
        <v>99.066730826785701</v>
      </c>
      <c r="S29" s="202">
        <f>VLOOKUP($A29,'2014'!$B$3:$P$38,12,0)</f>
        <v>95.208766333264677</v>
      </c>
      <c r="T29" s="202">
        <f>VLOOKUP($A29,'2014'!$B$3:$P$38,13,0)</f>
        <v>98.75</v>
      </c>
      <c r="U29" s="212">
        <f>VLOOKUP($A29,'2013'!$B$117:$N$152,13,0)</f>
        <v>93.074575543124396</v>
      </c>
      <c r="V29" s="202">
        <f>VLOOKUP($A29,'2013'!$B$117:$N$152,6,0)</f>
        <v>96.323452752728912</v>
      </c>
      <c r="W29" s="202">
        <f>VLOOKUP($A29,'2013'!$B$117:$N$152,7,0)</f>
        <v>96.088316322582841</v>
      </c>
      <c r="X29" s="202">
        <f>VLOOKUP($A29,'2013'!$B$117:$N$152,8,0)</f>
        <v>95.074030971846639</v>
      </c>
      <c r="Y29" s="202">
        <f>VLOOKUP($A29,'2013'!$B$117:$N$152,9,0)</f>
        <v>97.323436782291651</v>
      </c>
      <c r="Z29" s="202">
        <f>VLOOKUP($A29,'2013'!$B$117:$N$152,10,0)</f>
        <v>97.727272727272734</v>
      </c>
      <c r="AA29" s="203">
        <f>VLOOKUP($A29,'2013'!$B$117:$N$152,11,0)</f>
        <v>96.558589182874968</v>
      </c>
      <c r="AB29" s="192">
        <f>VLOOKUP($A29,'2012'!$B$117:$N$153,13,0)</f>
        <v>91.28</v>
      </c>
      <c r="AC29" s="193">
        <f>VLOOKUP($A29,'2012'!$B$117:$N$153,6,0)</f>
        <v>93.349619251744542</v>
      </c>
      <c r="AD29" s="193">
        <f>VLOOKUP($A29,'2012'!$B$117:$N$153,7,0)</f>
        <v>90.94432194113196</v>
      </c>
      <c r="AE29" s="193">
        <f>VLOOKUP($A29,'2012'!$B$117:$N$153,8,0)</f>
        <v>90.163131132499998</v>
      </c>
      <c r="AF29" s="193">
        <f>VLOOKUP($A29,'2012'!$B$117:$N$153,9,0)</f>
        <v>91.101840837392473</v>
      </c>
      <c r="AG29" s="193">
        <f>VLOOKUP($A29,'2012'!$B$117:$N$153,10,0)</f>
        <v>95.234467715937498</v>
      </c>
      <c r="AH29" s="194">
        <f>VLOOKUP($A29,'2012'!$B$117:$N$153,11,0)</f>
        <v>95.754916562357138</v>
      </c>
    </row>
    <row r="30" spans="1:34" ht="20.100000000000001" customHeight="1">
      <c r="A30" s="188" t="s">
        <v>26</v>
      </c>
      <c r="B30" s="188" t="s">
        <v>282</v>
      </c>
      <c r="C30" s="212">
        <f>VLOOKUP($A30,'2015'!$C$111:$U$142,19,0)</f>
        <v>95.376523675943275</v>
      </c>
      <c r="D30" s="202">
        <f>VLOOKUP($A30,'2015'!$C$111:$U$142,6,0)</f>
        <v>96.400918344126936</v>
      </c>
      <c r="E30" s="202">
        <f>VLOOKUP($A30,'2015'!$C$111:$U$142,7,0)</f>
        <v>96.211492993817828</v>
      </c>
      <c r="F30" s="202">
        <f>VLOOKUP($A30,'2015'!$C$111:$U$142,8,0)</f>
        <v>96.80257352941176</v>
      </c>
      <c r="G30" s="202">
        <f>VLOOKUP($A30,'2015'!$C$111:$U$142,9,0)</f>
        <v>97.969642857142858</v>
      </c>
      <c r="H30" s="202">
        <f>VLOOKUP($A30,'2015'!$C$111:$U$142,10,0)</f>
        <v>96.975531914893608</v>
      </c>
      <c r="I30" s="202">
        <f>VLOOKUP($A30,'2015'!$C$111:$U$142,11,0)</f>
        <v>92.075000000000003</v>
      </c>
      <c r="J30" s="202">
        <f>VLOOKUP($A30,'2015'!$C$111:$U$142,12,0)</f>
        <v>95.620412458223882</v>
      </c>
      <c r="K30" s="214">
        <f>VLOOKUP($A30,'2015'!$C$111:$U$142,13,0)</f>
        <v>100</v>
      </c>
      <c r="L30" s="212">
        <f>VLOOKUP($A30,'2014'!$B$3:$P$38,15,0)</f>
        <v>92.527898891595541</v>
      </c>
      <c r="M30" s="202">
        <f>VLOOKUP($A30,'2014'!$B$3:$P$38,6,0)</f>
        <v>95.594348507986851</v>
      </c>
      <c r="N30" s="202">
        <f>VLOOKUP($A30,'2014'!$B$3:$P$38,7,0)</f>
        <v>95.382208955775639</v>
      </c>
      <c r="O30" s="202">
        <f>VLOOKUP($A30,'2014'!$B$3:$P$38,8,0)</f>
        <v>94.708506707832072</v>
      </c>
      <c r="P30" s="202">
        <f>VLOOKUP($A30,'2014'!$B$3:$P$38,9,0)</f>
        <v>94.474872251577594</v>
      </c>
      <c r="Q30" s="202">
        <f>VLOOKUP($A30,'2014'!$B$3:$P$38,10,0)</f>
        <v>94.999652075</v>
      </c>
      <c r="R30" s="202">
        <f>VLOOKUP($A30,'2014'!$B$3:$P$38,11,0)</f>
        <v>94.882737303947351</v>
      </c>
      <c r="S30" s="202">
        <f>VLOOKUP($A30,'2014'!$B$3:$P$38,12,0)</f>
        <v>96.055911203719191</v>
      </c>
      <c r="T30" s="202">
        <f>VLOOKUP($A30,'2014'!$B$3:$P$38,13,0)</f>
        <v>99.625</v>
      </c>
      <c r="U30" s="212">
        <f>VLOOKUP($A30,'2013'!$B$117:$N$152,13,0)</f>
        <v>92.054868744188411</v>
      </c>
      <c r="V30" s="202">
        <f>VLOOKUP($A30,'2013'!$B$117:$N$152,6,0)</f>
        <v>96.54972961066116</v>
      </c>
      <c r="W30" s="202">
        <f>VLOOKUP($A30,'2013'!$B$117:$N$152,7,0)</f>
        <v>95.52216750426814</v>
      </c>
      <c r="X30" s="202">
        <f>VLOOKUP($A30,'2013'!$B$117:$N$152,8,0)</f>
        <v>94.861305235158639</v>
      </c>
      <c r="Y30" s="202">
        <f>VLOOKUP($A30,'2013'!$B$117:$N$152,9,0)</f>
        <v>97.117863125735326</v>
      </c>
      <c r="Z30" s="202">
        <f>VLOOKUP($A30,'2013'!$B$117:$N$152,10,0)</f>
        <v>94.290355785714269</v>
      </c>
      <c r="AA30" s="203">
        <f>VLOOKUP($A30,'2013'!$B$117:$N$152,11,0)</f>
        <v>97.57729171705418</v>
      </c>
      <c r="AB30" s="192">
        <f>VLOOKUP($A30,'2012'!$B$117:$N$153,13,0)</f>
        <v>92.06</v>
      </c>
      <c r="AC30" s="193">
        <f>VLOOKUP($A30,'2012'!$B$117:$N$153,6,0)</f>
        <v>93.07174710974931</v>
      </c>
      <c r="AD30" s="193">
        <f>VLOOKUP($A30,'2012'!$B$117:$N$153,7,0)</f>
        <v>90.104224011070059</v>
      </c>
      <c r="AE30" s="193">
        <f>VLOOKUP($A30,'2012'!$B$117:$N$153,8,0)</f>
        <v>89.039727605296775</v>
      </c>
      <c r="AF30" s="193">
        <f>VLOOKUP($A30,'2012'!$B$117:$N$153,9,0)</f>
        <v>92.590961203578402</v>
      </c>
      <c r="AG30" s="193">
        <f>VLOOKUP($A30,'2012'!$B$117:$N$153,10,0)</f>
        <v>85.759594035357139</v>
      </c>
      <c r="AH30" s="194">
        <f>VLOOKUP($A30,'2012'!$B$117:$N$153,11,0)</f>
        <v>96.039270208428562</v>
      </c>
    </row>
    <row r="31" spans="1:34" ht="20.100000000000001" customHeight="1">
      <c r="A31" s="188" t="s">
        <v>27</v>
      </c>
      <c r="B31" s="188" t="s">
        <v>282</v>
      </c>
      <c r="C31" s="212">
        <f>VLOOKUP($A31,'2015'!$C$111:$U$142,19,0)</f>
        <v>94.164888874498729</v>
      </c>
      <c r="D31" s="202">
        <f>VLOOKUP($A31,'2015'!$C$111:$U$142,6,0)</f>
        <v>95.38640601312963</v>
      </c>
      <c r="E31" s="202">
        <f>VLOOKUP($A31,'2015'!$C$111:$U$142,7,0)</f>
        <v>95.364637908557512</v>
      </c>
      <c r="F31" s="202">
        <f>VLOOKUP($A31,'2015'!$C$111:$U$142,8,0)</f>
        <v>95.240934065934056</v>
      </c>
      <c r="G31" s="202">
        <f>VLOOKUP($A31,'2015'!$C$111:$U$142,9,0)</f>
        <v>94.967934782608694</v>
      </c>
      <c r="H31" s="202">
        <f>VLOOKUP($A31,'2015'!$C$111:$U$142,10,0)</f>
        <v>96.495689655172413</v>
      </c>
      <c r="I31" s="202">
        <f>VLOOKUP($A31,'2015'!$C$111:$U$142,11,0)</f>
        <v>93.751562500000006</v>
      </c>
      <c r="J31" s="202">
        <f>VLOOKUP($A31,'2015'!$C$111:$U$142,12,0)</f>
        <v>95.488341751180968</v>
      </c>
      <c r="K31" s="214">
        <f>VLOOKUP($A31,'2015'!$C$111:$U$142,13,0)</f>
        <v>95.8</v>
      </c>
      <c r="L31" s="212">
        <f>VLOOKUP($A31,'2014'!$B$3:$P$38,15,0)</f>
        <v>92.266028245983364</v>
      </c>
      <c r="M31" s="202">
        <f>VLOOKUP($A31,'2014'!$B$3:$P$38,6,0)</f>
        <v>94.164888874498729</v>
      </c>
      <c r="N31" s="202">
        <f>VLOOKUP($A31,'2014'!$B$3:$P$38,7,0)</f>
        <v>93.857777762630249</v>
      </c>
      <c r="O31" s="202">
        <f>VLOOKUP($A31,'2014'!$B$3:$P$38,8,0)</f>
        <v>93.773236961748836</v>
      </c>
      <c r="P31" s="202">
        <f>VLOOKUP($A31,'2014'!$B$3:$P$38,9,0)</f>
        <v>93.236689255978291</v>
      </c>
      <c r="Q31" s="202">
        <f>VLOOKUP($A31,'2014'!$B$3:$P$38,10,0)</f>
        <v>94.993531659612202</v>
      </c>
      <c r="R31" s="202">
        <f>VLOOKUP($A31,'2014'!$B$3:$P$38,11,0)</f>
        <v>93.21517478088235</v>
      </c>
      <c r="S31" s="202">
        <f>VLOOKUP($A31,'2014'!$B$3:$P$38,12,0)</f>
        <v>93.942318563511662</v>
      </c>
      <c r="T31" s="202">
        <f>VLOOKUP($A31,'2014'!$B$3:$P$38,13,0)</f>
        <v>100</v>
      </c>
      <c r="U31" s="212">
        <f>VLOOKUP($A31,'2013'!$B$117:$N$152,13,0)</f>
        <v>93.347917929699051</v>
      </c>
      <c r="V31" s="202">
        <f>VLOOKUP($A31,'2013'!$B$117:$N$152,6,0)</f>
        <v>94.479677356748169</v>
      </c>
      <c r="W31" s="202">
        <f>VLOOKUP($A31,'2013'!$B$117:$N$152,7,0)</f>
        <v>94.744264451351356</v>
      </c>
      <c r="X31" s="202">
        <f>VLOOKUP($A31,'2013'!$B$117:$N$152,8,0)</f>
        <v>95.230724426315774</v>
      </c>
      <c r="Y31" s="202">
        <f>VLOOKUP($A31,'2013'!$B$117:$N$152,9,0)</f>
        <v>94.857593169791656</v>
      </c>
      <c r="Z31" s="202">
        <f>VLOOKUP($A31,'2013'!$B$117:$N$152,10,0)</f>
        <v>92.977150427083316</v>
      </c>
      <c r="AA31" s="203">
        <f>VLOOKUP($A31,'2013'!$B$117:$N$152,11,0)</f>
        <v>94.215090262144997</v>
      </c>
      <c r="AB31" s="192">
        <f>VLOOKUP($A31,'2012'!$B$117:$N$153,13,0)</f>
        <v>91.97</v>
      </c>
      <c r="AC31" s="193">
        <f>VLOOKUP($A31,'2012'!$B$117:$N$153,6,0)</f>
        <v>94.2200277642537</v>
      </c>
      <c r="AD31" s="193">
        <f>VLOOKUP($A31,'2012'!$B$117:$N$153,7,0)</f>
        <v>92.891079483266338</v>
      </c>
      <c r="AE31" s="193">
        <f>VLOOKUP($A31,'2012'!$B$117:$N$153,8,0)</f>
        <v>90.625851322526927</v>
      </c>
      <c r="AF31" s="193">
        <f>VLOOKUP($A31,'2012'!$B$117:$N$153,9,0)</f>
        <v>94.683140014277726</v>
      </c>
      <c r="AG31" s="193">
        <f>VLOOKUP($A31,'2012'!$B$117:$N$153,10,0)</f>
        <v>94.846297402368393</v>
      </c>
      <c r="AH31" s="194">
        <f>VLOOKUP($A31,'2012'!$B$117:$N$153,11,0)</f>
        <v>95.548976045241076</v>
      </c>
    </row>
    <row r="32" spans="1:34" ht="20.100000000000001" customHeight="1">
      <c r="A32" s="188" t="s">
        <v>28</v>
      </c>
      <c r="B32" s="188" t="s">
        <v>282</v>
      </c>
      <c r="C32" s="212">
        <f>VLOOKUP($A32,'2015'!$C$111:$U$142,19,0)</f>
        <v>94.35136791254898</v>
      </c>
      <c r="D32" s="202">
        <f>VLOOKUP($A32,'2015'!$C$111:$U$142,6,0)</f>
        <v>96.431003935533766</v>
      </c>
      <c r="E32" s="202">
        <f>VLOOKUP($A32,'2015'!$C$111:$U$142,7,0)</f>
        <v>96.327372563719763</v>
      </c>
      <c r="F32" s="202">
        <f>VLOOKUP($A32,'2015'!$C$111:$U$142,8,0)</f>
        <v>96.330502702219832</v>
      </c>
      <c r="G32" s="202">
        <f>VLOOKUP($A32,'2015'!$C$111:$U$142,9,0)</f>
        <v>97.656481481481492</v>
      </c>
      <c r="H32" s="202">
        <f>VLOOKUP($A32,'2015'!$C$111:$U$142,10,0)</f>
        <v>93.910041149239476</v>
      </c>
      <c r="I32" s="202">
        <f>VLOOKUP($A32,'2015'!$C$111:$U$142,11,0)</f>
        <v>96.53235294117647</v>
      </c>
      <c r="J32" s="202">
        <f>VLOOKUP($A32,'2015'!$C$111:$U$142,12,0)</f>
        <v>96.32424242521968</v>
      </c>
      <c r="K32" s="214">
        <f>VLOOKUP($A32,'2015'!$C$111:$U$142,13,0)</f>
        <v>98.4</v>
      </c>
      <c r="L32" s="212">
        <f>VLOOKUP($A32,'2014'!$B$3:$P$38,15,0)</f>
        <v>91.761831936139245</v>
      </c>
      <c r="M32" s="202">
        <f>VLOOKUP($A32,'2014'!$B$3:$P$38,6,0)</f>
        <v>94.941110321880132</v>
      </c>
      <c r="N32" s="202">
        <f>VLOOKUP($A32,'2014'!$B$3:$P$38,7,0)</f>
        <v>94.674852970400138</v>
      </c>
      <c r="O32" s="202">
        <f>VLOOKUP($A32,'2014'!$B$3:$P$38,8,0)</f>
        <v>94.027654936396871</v>
      </c>
      <c r="P32" s="202">
        <f>VLOOKUP($A32,'2014'!$B$3:$P$38,9,0)</f>
        <v>93.601489414473733</v>
      </c>
      <c r="Q32" s="202">
        <f>VLOOKUP($A32,'2014'!$B$3:$P$38,10,0)</f>
        <v>95.76577200296164</v>
      </c>
      <c r="R32" s="202">
        <f>VLOOKUP($A32,'2014'!$B$3:$P$38,11,0)</f>
        <v>91.997507015277762</v>
      </c>
      <c r="S32" s="202">
        <f>VLOOKUP($A32,'2014'!$B$3:$P$38,12,0)</f>
        <v>95.322051004403406</v>
      </c>
      <c r="T32" s="202">
        <f>VLOOKUP($A32,'2014'!$B$3:$P$38,13,0)</f>
        <v>100</v>
      </c>
      <c r="U32" s="212">
        <f>VLOOKUP($A32,'2013'!$B$117:$N$152,13,0)</f>
        <v>93.204306864513413</v>
      </c>
      <c r="V32" s="202">
        <f>VLOOKUP($A32,'2013'!$B$117:$N$152,6,0)</f>
        <v>93.585458701121794</v>
      </c>
      <c r="W32" s="202">
        <f>VLOOKUP($A32,'2013'!$B$117:$N$152,7,0)</f>
        <v>94.690154463126007</v>
      </c>
      <c r="X32" s="202">
        <f>VLOOKUP($A32,'2013'!$B$117:$N$152,8,0)</f>
        <v>95.390488922169467</v>
      </c>
      <c r="Y32" s="202">
        <f>VLOOKUP($A32,'2013'!$B$117:$N$152,9,0)</f>
        <v>94.122937986607127</v>
      </c>
      <c r="Z32" s="202">
        <f>VLOOKUP($A32,'2013'!$B$117:$N$152,10,0)</f>
        <v>93.270682943749989</v>
      </c>
      <c r="AA32" s="203">
        <f>VLOOKUP($A32,'2013'!$B$117:$N$152,11,0)</f>
        <v>92.480762939117582</v>
      </c>
      <c r="AB32" s="192">
        <f>VLOOKUP($A32,'2012'!$B$117:$N$153,13,0)</f>
        <v>91.46</v>
      </c>
      <c r="AC32" s="193">
        <f>VLOOKUP($A32,'2012'!$B$117:$N$153,6,0)</f>
        <v>94.019063758044581</v>
      </c>
      <c r="AD32" s="193">
        <f>VLOOKUP($A32,'2012'!$B$117:$N$153,7,0)</f>
        <v>91.467450305571276</v>
      </c>
      <c r="AE32" s="193">
        <f>VLOOKUP($A32,'2012'!$B$117:$N$153,8,0)</f>
        <v>92.149487522793095</v>
      </c>
      <c r="AF32" s="193">
        <f>VLOOKUP($A32,'2012'!$B$117:$N$153,9,0)</f>
        <v>91.775289357261869</v>
      </c>
      <c r="AG32" s="193">
        <f>VLOOKUP($A32,'2012'!$B$117:$N$153,10,0)</f>
        <v>87.968290387580012</v>
      </c>
      <c r="AH32" s="194">
        <f>VLOOKUP($A32,'2012'!$B$117:$N$153,11,0)</f>
        <v>96.570677210517871</v>
      </c>
    </row>
    <row r="33" spans="1:34" ht="20.100000000000001" customHeight="1">
      <c r="A33" s="188" t="s">
        <v>29</v>
      </c>
      <c r="B33" s="188" t="s">
        <v>282</v>
      </c>
      <c r="C33" s="212">
        <f>VLOOKUP($A33,'2015'!$C$111:$U$142,19,0)</f>
        <v>94.889039719383476</v>
      </c>
      <c r="D33" s="202">
        <f>VLOOKUP($A33,'2015'!$C$111:$U$142,6,0)</f>
        <v>96.568427162825387</v>
      </c>
      <c r="E33" s="202">
        <f>VLOOKUP($A33,'2015'!$C$111:$U$142,7,0)</f>
        <v>96.41413385560567</v>
      </c>
      <c r="F33" s="202">
        <f>VLOOKUP($A33,'2015'!$C$111:$U$142,8,0)</f>
        <v>96.363200370808983</v>
      </c>
      <c r="G33" s="202">
        <f>VLOOKUP($A33,'2015'!$C$111:$U$142,9,0)</f>
        <v>97.534722222222229</v>
      </c>
      <c r="H33" s="202">
        <f>VLOOKUP($A33,'2015'!$C$111:$U$142,10,0)</f>
        <v>95.60800647779044</v>
      </c>
      <c r="I33" s="202">
        <f>VLOOKUP($A33,'2015'!$C$111:$U$142,11,0)</f>
        <v>93.756802010827542</v>
      </c>
      <c r="J33" s="202">
        <f>VLOOKUP($A33,'2015'!$C$111:$U$142,12,0)</f>
        <v>96.465067340402342</v>
      </c>
      <c r="K33" s="214">
        <f>VLOOKUP($A33,'2015'!$C$111:$U$142,13,0)</f>
        <v>99.5</v>
      </c>
      <c r="L33" s="212">
        <f>VLOOKUP($A33,'2014'!$B$3:$P$38,15,0)</f>
        <v>92.000353127496837</v>
      </c>
      <c r="M33" s="202">
        <f>VLOOKUP($A33,'2014'!$B$3:$P$38,6,0)</f>
        <v>95.417879940454725</v>
      </c>
      <c r="N33" s="202">
        <f>VLOOKUP($A33,'2014'!$B$3:$P$38,7,0)</f>
        <v>95.209610463636551</v>
      </c>
      <c r="O33" s="202">
        <f>VLOOKUP($A33,'2014'!$B$3:$P$38,8,0)</f>
        <v>95.884930002447561</v>
      </c>
      <c r="P33" s="202">
        <f>VLOOKUP($A33,'2014'!$B$3:$P$38,9,0)</f>
        <v>96.63127327955786</v>
      </c>
      <c r="Q33" s="202">
        <f>VLOOKUP($A33,'2014'!$B$3:$P$38,10,0)</f>
        <v>95.459878767857163</v>
      </c>
      <c r="R33" s="202">
        <f>VLOOKUP($A33,'2014'!$B$3:$P$38,11,0)</f>
        <v>93.990855544999988</v>
      </c>
      <c r="S33" s="202">
        <f>VLOOKUP($A33,'2014'!$B$3:$P$38,12,0)</f>
        <v>94.534290924825541</v>
      </c>
      <c r="T33" s="202">
        <f>VLOOKUP($A33,'2014'!$B$3:$P$38,13,0)</f>
        <v>99.375</v>
      </c>
      <c r="U33" s="212">
        <f>VLOOKUP($A33,'2013'!$B$117:$N$152,13,0)</f>
        <v>92.307903991204981</v>
      </c>
      <c r="V33" s="202">
        <f>VLOOKUP($A33,'2013'!$B$117:$N$152,6,0)</f>
        <v>95.148859852471531</v>
      </c>
      <c r="W33" s="202">
        <f>VLOOKUP($A33,'2013'!$B$117:$N$152,7,0)</f>
        <v>94.404882933888857</v>
      </c>
      <c r="X33" s="202">
        <f>VLOOKUP($A33,'2013'!$B$117:$N$152,8,0)</f>
        <v>96.334912562234052</v>
      </c>
      <c r="Y33" s="202">
        <f>VLOOKUP($A33,'2013'!$B$117:$N$152,9,0)</f>
        <v>92.747154152884605</v>
      </c>
      <c r="Z33" s="202">
        <f>VLOOKUP($A33,'2013'!$B$117:$N$152,10,0)</f>
        <v>91.604268567647054</v>
      </c>
      <c r="AA33" s="203">
        <f>VLOOKUP($A33,'2013'!$B$117:$N$152,11,0)</f>
        <v>95.892836771054206</v>
      </c>
      <c r="AB33" s="192">
        <f>VLOOKUP($A33,'2012'!$B$117:$N$153,13,0)</f>
        <v>90.24</v>
      </c>
      <c r="AC33" s="193">
        <f>VLOOKUP($A33,'2012'!$B$117:$N$153,6,0)</f>
        <v>93.175498745780573</v>
      </c>
      <c r="AD33" s="193">
        <f>VLOOKUP($A33,'2012'!$B$117:$N$153,7,0)</f>
        <v>89.910905299132551</v>
      </c>
      <c r="AE33" s="193">
        <f>VLOOKUP($A33,'2012'!$B$117:$N$153,8,0)</f>
        <v>92.335650083722399</v>
      </c>
      <c r="AF33" s="193">
        <f>VLOOKUP($A33,'2012'!$B$117:$N$153,9,0)</f>
        <v>89.190782738222197</v>
      </c>
      <c r="AG33" s="193">
        <f>VLOOKUP($A33,'2012'!$B$117:$N$153,10,0)</f>
        <v>83.544453401176469</v>
      </c>
      <c r="AH33" s="194">
        <f>VLOOKUP($A33,'2012'!$B$117:$N$153,11,0)</f>
        <v>96.44009219242858</v>
      </c>
    </row>
    <row r="34" spans="1:34" ht="20.100000000000001" customHeight="1">
      <c r="A34" s="188" t="s">
        <v>30</v>
      </c>
      <c r="B34" s="188" t="s">
        <v>282</v>
      </c>
      <c r="C34" s="212">
        <f>VLOOKUP($A34,'2015'!$C$111:$U$142,19,0)</f>
        <v>95.713559513887063</v>
      </c>
      <c r="D34" s="202">
        <f>VLOOKUP($A34,'2015'!$C$111:$U$142,6,0)</f>
        <v>96.778287168214533</v>
      </c>
      <c r="E34" s="202">
        <f>VLOOKUP($A34,'2015'!$C$111:$U$142,7,0)</f>
        <v>96.629775966541615</v>
      </c>
      <c r="F34" s="202">
        <f>VLOOKUP($A34,'2015'!$C$111:$U$142,8,0)</f>
        <v>96.153996376313017</v>
      </c>
      <c r="G34" s="202">
        <f>VLOOKUP($A34,'2015'!$C$111:$U$142,9,0)</f>
        <v>96.279939628978084</v>
      </c>
      <c r="H34" s="202">
        <f>VLOOKUP($A34,'2015'!$C$111:$U$142,10,0)</f>
        <v>95.740384615384599</v>
      </c>
      <c r="I34" s="202">
        <f>VLOOKUP($A34,'2015'!$C$111:$U$142,11,0)</f>
        <v>96.579687500000006</v>
      </c>
      <c r="J34" s="202">
        <f>VLOOKUP($A34,'2015'!$C$111:$U$142,12,0)</f>
        <v>97.105555556770213</v>
      </c>
      <c r="K34" s="214">
        <f>VLOOKUP($A34,'2015'!$C$111:$U$142,13,0)</f>
        <v>99.6</v>
      </c>
      <c r="L34" s="212">
        <f>VLOOKUP($A34,'2014'!$B$3:$P$38,15,0)</f>
        <v>93.162808111017426</v>
      </c>
      <c r="M34" s="202">
        <f>VLOOKUP($A34,'2014'!$B$3:$P$38,6,0)</f>
        <v>96.328656925393744</v>
      </c>
      <c r="N34" s="202">
        <f>VLOOKUP($A34,'2014'!$B$3:$P$38,7,0)</f>
        <v>96.135428342519731</v>
      </c>
      <c r="O34" s="202">
        <f>VLOOKUP($A34,'2014'!$B$3:$P$38,8,0)</f>
        <v>96.739965929546983</v>
      </c>
      <c r="P34" s="202">
        <f>VLOOKUP($A34,'2014'!$B$3:$P$38,9,0)</f>
        <v>97.668041018214353</v>
      </c>
      <c r="Q34" s="202">
        <f>VLOOKUP($A34,'2014'!$B$3:$P$38,10,0)</f>
        <v>95.686804446992383</v>
      </c>
      <c r="R34" s="202">
        <f>VLOOKUP($A34,'2014'!$B$3:$P$38,11,0)</f>
        <v>95.646670793055549</v>
      </c>
      <c r="S34" s="202">
        <f>VLOOKUP($A34,'2014'!$B$3:$P$38,12,0)</f>
        <v>95.530890755492464</v>
      </c>
      <c r="T34" s="202">
        <f>VLOOKUP($A34,'2014'!$B$3:$P$38,13,0)</f>
        <v>100</v>
      </c>
      <c r="U34" s="212">
        <f>VLOOKUP($A34,'2013'!$B$117:$N$152,13,0)</f>
        <v>92.644540315497451</v>
      </c>
      <c r="V34" s="202">
        <f>VLOOKUP($A34,'2013'!$B$117:$N$152,6,0)</f>
        <v>96.836413691464728</v>
      </c>
      <c r="W34" s="202">
        <f>VLOOKUP($A34,'2013'!$B$117:$N$152,7,0)</f>
        <v>95.889469137076517</v>
      </c>
      <c r="X34" s="202">
        <f>VLOOKUP($A34,'2013'!$B$117:$N$152,8,0)</f>
        <v>95.736023783474579</v>
      </c>
      <c r="Y34" s="202">
        <f>VLOOKUP($A34,'2013'!$B$117:$N$152,9,0)</f>
        <v>96.166529222490553</v>
      </c>
      <c r="Z34" s="202">
        <f>VLOOKUP($A34,'2013'!$B$117:$N$152,10,0)</f>
        <v>95.883488673333332</v>
      </c>
      <c r="AA34" s="203">
        <f>VLOOKUP($A34,'2013'!$B$117:$N$152,11,0)</f>
        <v>97.783358245852938</v>
      </c>
      <c r="AB34" s="192">
        <f>VLOOKUP($A34,'2012'!$B$117:$N$153,13,0)</f>
        <v>92.07</v>
      </c>
      <c r="AC34" s="193">
        <f>VLOOKUP($A34,'2012'!$B$117:$N$153,6,0)</f>
        <v>92.486155255950976</v>
      </c>
      <c r="AD34" s="193">
        <f>VLOOKUP($A34,'2012'!$B$117:$N$153,7,0)</f>
        <v>89.105569812625177</v>
      </c>
      <c r="AE34" s="193">
        <f>VLOOKUP($A34,'2012'!$B$117:$N$153,8,0)</f>
        <v>90.442606837521552</v>
      </c>
      <c r="AF34" s="193">
        <f>VLOOKUP($A34,'2012'!$B$117:$N$153,9,0)</f>
        <v>87.199485353699984</v>
      </c>
      <c r="AG34" s="193">
        <f>VLOOKUP($A34,'2012'!$B$117:$N$153,10,0)</f>
        <v>89.630370833124985</v>
      </c>
      <c r="AH34" s="194">
        <f>VLOOKUP($A34,'2012'!$B$117:$N$153,11,0)</f>
        <v>95.866740699276775</v>
      </c>
    </row>
    <row r="35" spans="1:34" ht="20.100000000000001" customHeight="1">
      <c r="A35" s="188" t="s">
        <v>31</v>
      </c>
      <c r="B35" s="188" t="s">
        <v>282</v>
      </c>
      <c r="C35" s="212">
        <f>VLOOKUP($A35,'2015'!$C$111:$U$142,19,0)</f>
        <v>95.701517859393533</v>
      </c>
      <c r="D35" s="202">
        <f>VLOOKUP($A35,'2015'!$C$111:$U$142,6,0)</f>
        <v>96.999133373067707</v>
      </c>
      <c r="E35" s="202">
        <f>VLOOKUP($A35,'2015'!$C$111:$U$142,7,0)</f>
        <v>96.972771971650218</v>
      </c>
      <c r="F35" s="202">
        <f>VLOOKUP($A35,'2015'!$C$111:$U$142,8,0)</f>
        <v>96.146259431069794</v>
      </c>
      <c r="G35" s="202">
        <f>VLOOKUP($A35,'2015'!$C$111:$U$142,9,0)</f>
        <v>96.422299020608023</v>
      </c>
      <c r="H35" s="202">
        <f>VLOOKUP($A35,'2015'!$C$111:$U$142,10,0)</f>
        <v>95.443376240278894</v>
      </c>
      <c r="I35" s="202">
        <f>VLOOKUP($A35,'2015'!$C$111:$U$142,11,0)</f>
        <v>96.595312500000006</v>
      </c>
      <c r="J35" s="202">
        <f>VLOOKUP($A35,'2015'!$C$111:$U$142,12,0)</f>
        <v>97.799284512230642</v>
      </c>
      <c r="K35" s="214">
        <f>VLOOKUP($A35,'2015'!$C$111:$U$142,13,0)</f>
        <v>97.5</v>
      </c>
      <c r="L35" s="212">
        <f>VLOOKUP($A35,'2014'!$B$3:$P$38,15,0)</f>
        <v>94.189414419144356</v>
      </c>
      <c r="M35" s="202">
        <f>VLOOKUP($A35,'2014'!$B$3:$P$38,6,0)</f>
        <v>95.752605524653248</v>
      </c>
      <c r="N35" s="202">
        <f>VLOOKUP($A35,'2014'!$B$3:$P$38,7,0)</f>
        <v>95.568532131213942</v>
      </c>
      <c r="O35" s="202">
        <f>VLOOKUP($A35,'2014'!$B$3:$P$38,8,0)</f>
        <v>97.173720221794696</v>
      </c>
      <c r="P35" s="202">
        <f>VLOOKUP($A35,'2014'!$B$3:$P$38,9,0)</f>
        <v>96.532657573790388</v>
      </c>
      <c r="Q35" s="202">
        <f>VLOOKUP($A35,'2014'!$B$3:$P$38,10,0)</f>
        <v>97.18529288888891</v>
      </c>
      <c r="R35" s="202">
        <f>VLOOKUP($A35,'2014'!$B$3:$P$38,11,0)</f>
        <v>99.24368170394736</v>
      </c>
      <c r="S35" s="202">
        <f>VLOOKUP($A35,'2014'!$B$3:$P$38,12,0)</f>
        <v>93.963344040633189</v>
      </c>
      <c r="T35" s="202">
        <f>VLOOKUP($A35,'2014'!$B$3:$P$38,13,0)</f>
        <v>99.25</v>
      </c>
      <c r="U35" s="212">
        <f>VLOOKUP($A35,'2013'!$B$117:$N$152,13,0)</f>
        <v>93.546666666666667</v>
      </c>
      <c r="V35" s="202">
        <f>VLOOKUP($A35,'2013'!$B$117:$N$152,6,0)</f>
        <v>96.42307578954356</v>
      </c>
      <c r="W35" s="202">
        <f>VLOOKUP($A35,'2013'!$B$117:$N$152,7,0)</f>
        <v>97.19799006158712</v>
      </c>
      <c r="X35" s="202">
        <f>VLOOKUP($A35,'2013'!$B$117:$N$152,8,0)</f>
        <v>96.577378065124975</v>
      </c>
      <c r="Y35" s="202">
        <f>VLOOKUP($A35,'2013'!$B$117:$N$152,9,0)</f>
        <v>97.391740407500023</v>
      </c>
      <c r="Z35" s="202">
        <f>VLOOKUP($A35,'2013'!$B$117:$N$152,10,0)</f>
        <v>99.999999999999986</v>
      </c>
      <c r="AA35" s="203">
        <f>VLOOKUP($A35,'2013'!$B$117:$N$152,11,0)</f>
        <v>95.648161517500014</v>
      </c>
      <c r="AB35" s="192">
        <f>VLOOKUP($A35,'2012'!$B$117:$N$153,13,0)</f>
        <v>92.91</v>
      </c>
      <c r="AC35" s="193">
        <f>VLOOKUP($A35,'2012'!$B$117:$N$153,6,0)</f>
        <v>94.496075485334558</v>
      </c>
      <c r="AD35" s="193">
        <f>VLOOKUP($A35,'2012'!$B$117:$N$153,7,0)</f>
        <v>93.854317872240543</v>
      </c>
      <c r="AE35" s="193">
        <f>VLOOKUP($A35,'2012'!$B$117:$N$153,8,0)</f>
        <v>93.192814480129329</v>
      </c>
      <c r="AF35" s="193">
        <f>VLOOKUP($A35,'2012'!$B$117:$N$153,9,0)</f>
        <v>94.89370502099996</v>
      </c>
      <c r="AG35" s="193">
        <f>VLOOKUP($A35,'2012'!$B$117:$N$153,10,0)</f>
        <v>93.453281721249994</v>
      </c>
      <c r="AH35" s="194">
        <f>VLOOKUP($A35,'2012'!$B$117:$N$153,11,0)</f>
        <v>95.137833098428572</v>
      </c>
    </row>
    <row r="36" spans="1:34" ht="20.100000000000001" customHeight="1">
      <c r="A36" s="204" t="s">
        <v>293</v>
      </c>
      <c r="B36" s="204" t="s">
        <v>292</v>
      </c>
      <c r="C36" s="205"/>
      <c r="D36" s="206"/>
      <c r="E36" s="206"/>
      <c r="F36" s="206"/>
      <c r="G36" s="206"/>
      <c r="H36" s="206"/>
      <c r="I36" s="206"/>
      <c r="J36" s="206"/>
      <c r="K36" s="213"/>
      <c r="L36" s="205"/>
      <c r="M36" s="206"/>
      <c r="N36" s="206"/>
      <c r="O36" s="206"/>
      <c r="P36" s="206"/>
      <c r="Q36" s="206"/>
      <c r="R36" s="206"/>
      <c r="S36" s="206"/>
      <c r="T36" s="213"/>
      <c r="U36" s="205"/>
      <c r="V36" s="207"/>
      <c r="W36" s="207"/>
      <c r="X36" s="207"/>
      <c r="Y36" s="207"/>
      <c r="Z36" s="207"/>
      <c r="AA36" s="208"/>
      <c r="AB36" s="209" t="e">
        <f>VLOOKUP($A36,'2012'!$B$117:$N$153,13,0)</f>
        <v>#N/A</v>
      </c>
      <c r="AC36" s="210">
        <f>VLOOKUP($A36,'2012'!$B$117:$N$153,6,0)</f>
        <v>93.832029386082723</v>
      </c>
      <c r="AD36" s="210">
        <f>VLOOKUP($A36,'2012'!$B$117:$N$153,7,0)</f>
        <v>92.731887001213039</v>
      </c>
      <c r="AE36" s="210">
        <f>VLOOKUP($A36,'2012'!$B$117:$N$153,8,0)</f>
        <v>95.737376535469551</v>
      </c>
      <c r="AF36" s="210">
        <f>VLOOKUP($A36,'2012'!$B$117:$N$153,9,0)</f>
        <v>90.843117361176482</v>
      </c>
      <c r="AG36" s="210">
        <f>VLOOKUP($A36,'2012'!$B$117:$N$153,10,0)</f>
        <v>86.562357766666665</v>
      </c>
      <c r="AH36" s="211">
        <f>VLOOKUP($A36,'2012'!$B$117:$N$153,11,0)</f>
        <v>94.932171770952408</v>
      </c>
    </row>
    <row r="39" spans="1:34" ht="20.100000000000001" customHeight="1">
      <c r="B39" s="452"/>
    </row>
    <row r="40" spans="1:34" ht="20.100000000000001" customHeight="1">
      <c r="B40" s="452"/>
    </row>
    <row r="41" spans="1:34" ht="20.100000000000001" customHeight="1">
      <c r="B41" s="452"/>
    </row>
    <row r="42" spans="1:34" ht="20.100000000000001" customHeight="1">
      <c r="B42" s="452"/>
    </row>
    <row r="43" spans="1:34" ht="20.100000000000001" customHeight="1">
      <c r="B43" s="452"/>
    </row>
    <row r="44" spans="1:34" ht="20.100000000000001" customHeight="1">
      <c r="B44" s="452"/>
    </row>
    <row r="45" spans="1:34" ht="20.100000000000001" customHeight="1">
      <c r="B45" s="452"/>
    </row>
    <row r="46" spans="1:34" ht="20.100000000000001" customHeight="1">
      <c r="B46" s="452"/>
    </row>
    <row r="47" spans="1:34" ht="20.100000000000001" customHeight="1">
      <c r="B47" s="452"/>
    </row>
    <row r="48" spans="1:34" ht="20.100000000000001" customHeight="1">
      <c r="B48" s="452"/>
    </row>
    <row r="49" spans="2:2" ht="20.100000000000001" customHeight="1">
      <c r="B49" s="452"/>
    </row>
    <row r="50" spans="2:2" ht="20.100000000000001" customHeight="1">
      <c r="B50" s="452"/>
    </row>
    <row r="51" spans="2:2" ht="20.100000000000001" customHeight="1">
      <c r="B51" s="452"/>
    </row>
    <row r="52" spans="2:2" ht="20.100000000000001" customHeight="1">
      <c r="B52" s="452"/>
    </row>
    <row r="53" spans="2:2" ht="20.100000000000001" customHeight="1">
      <c r="B53" s="452"/>
    </row>
    <row r="54" spans="2:2" ht="20.100000000000001" customHeight="1">
      <c r="B54" s="452"/>
    </row>
    <row r="55" spans="2:2" ht="20.100000000000001" customHeight="1">
      <c r="B55" s="452"/>
    </row>
    <row r="56" spans="2:2" ht="20.100000000000001" customHeight="1">
      <c r="B56" s="452"/>
    </row>
    <row r="57" spans="2:2" ht="20.100000000000001" customHeight="1">
      <c r="B57" s="452"/>
    </row>
    <row r="58" spans="2:2" ht="20.100000000000001" customHeight="1">
      <c r="B58" s="452"/>
    </row>
    <row r="59" spans="2:2" ht="20.100000000000001" customHeight="1">
      <c r="B59" s="452"/>
    </row>
    <row r="60" spans="2:2" ht="20.100000000000001" customHeight="1">
      <c r="B60" s="452"/>
    </row>
    <row r="61" spans="2:2" ht="20.100000000000001" customHeight="1">
      <c r="B61" s="452"/>
    </row>
    <row r="62" spans="2:2" ht="20.100000000000001" customHeight="1">
      <c r="B62" s="452"/>
    </row>
    <row r="63" spans="2:2" ht="20.100000000000001" customHeight="1">
      <c r="B63" s="452"/>
    </row>
    <row r="64" spans="2:2" ht="20.100000000000001" customHeight="1">
      <c r="B64" s="452"/>
    </row>
    <row r="65" spans="2:2" ht="20.100000000000001" customHeight="1">
      <c r="B65" s="452"/>
    </row>
    <row r="66" spans="2:2" ht="20.100000000000001" customHeight="1">
      <c r="B66" s="452"/>
    </row>
    <row r="67" spans="2:2" ht="20.100000000000001" customHeight="1">
      <c r="B67" s="452"/>
    </row>
    <row r="68" spans="2:2" ht="20.100000000000001" customHeight="1">
      <c r="B68" s="452"/>
    </row>
    <row r="69" spans="2:2" ht="20.100000000000001" customHeight="1">
      <c r="B69" s="452"/>
    </row>
    <row r="70" spans="2:2" ht="20.100000000000001" customHeight="1">
      <c r="B70" s="452"/>
    </row>
  </sheetData>
  <mergeCells count="6">
    <mergeCell ref="A2:A3"/>
    <mergeCell ref="B2:B3"/>
    <mergeCell ref="U2:AA2"/>
    <mergeCell ref="AB2:AH2"/>
    <mergeCell ref="C2:K2"/>
    <mergeCell ref="L2:T2"/>
  </mergeCells>
  <phoneticPr fontId="2" type="noConversion"/>
  <printOptions horizontalCentered="1"/>
  <pageMargins left="0.47244094488188981" right="0.47244094488188981" top="0.98425196850393704" bottom="0.47244094488188981" header="0.47244094488188981" footer="0.31496062992125984"/>
  <pageSetup paperSize="9" orientation="portrait" r:id="rId1"/>
  <headerFooter>
    <oddHeader>&amp;C&amp;"+,굵게"&amp;18우정서비스 고객만족도(KPCSI) 총괄국별/연도별 실적</oddHeader>
  </headerFooter>
  <colBreaks count="1" manualBreakCount="1">
    <brk id="2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B1:X262"/>
  <sheetViews>
    <sheetView zoomScaleSheetLayoutView="100"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I123" sqref="I123"/>
    </sheetView>
  </sheetViews>
  <sheetFormatPr defaultRowHeight="20.25" customHeight="1"/>
  <cols>
    <col min="1" max="1" width="3.5" style="89" customWidth="1"/>
    <col min="2" max="2" width="5.625" style="89" bestFit="1" customWidth="1"/>
    <col min="3" max="3" width="11.125" style="89" customWidth="1"/>
    <col min="4" max="4" width="5.5" style="89" bestFit="1" customWidth="1"/>
    <col min="5" max="5" width="7.5" style="89" bestFit="1" customWidth="1"/>
    <col min="6" max="6" width="7.25" style="89" bestFit="1" customWidth="1"/>
    <col min="7" max="7" width="7" style="89" customWidth="1"/>
    <col min="8" max="8" width="6.25" style="157" customWidth="1"/>
    <col min="9" max="11" width="6.25" style="94" customWidth="1"/>
    <col min="12" max="14" width="6.25" style="89" customWidth="1"/>
    <col min="15" max="15" width="6.375" style="89" customWidth="1"/>
    <col min="16" max="16" width="4.125" style="86" customWidth="1"/>
    <col min="17" max="19" width="9" style="87" hidden="1" customWidth="1"/>
    <col min="20" max="20" width="9" style="86" hidden="1" customWidth="1"/>
    <col min="21" max="21" width="9" style="169" customWidth="1"/>
    <col min="22" max="22" width="9" style="86" customWidth="1"/>
    <col min="23" max="24" width="9" style="88"/>
    <col min="25" max="16384" width="9" style="89"/>
  </cols>
  <sheetData>
    <row r="1" spans="2:24" ht="23.25" customHeight="1">
      <c r="B1" s="758" t="s">
        <v>37</v>
      </c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</row>
    <row r="2" spans="2:24" s="93" customFormat="1" ht="7.5" customHeight="1">
      <c r="B2" s="90"/>
      <c r="C2" s="90"/>
      <c r="D2" s="91"/>
      <c r="E2" s="91"/>
      <c r="F2" s="91"/>
      <c r="G2" s="91"/>
      <c r="H2" s="92"/>
      <c r="J2" s="94"/>
      <c r="P2" s="95"/>
      <c r="Q2" s="96"/>
      <c r="R2" s="96"/>
      <c r="S2" s="96"/>
      <c r="T2" s="95"/>
      <c r="U2" s="170"/>
      <c r="V2" s="95"/>
      <c r="W2" s="97"/>
      <c r="X2" s="97"/>
    </row>
    <row r="3" spans="2:24" s="93" customFormat="1" ht="7.5" customHeight="1" thickBot="1">
      <c r="B3" s="759"/>
      <c r="C3" s="759"/>
      <c r="D3" s="91"/>
      <c r="E3" s="91"/>
      <c r="F3" s="91"/>
      <c r="G3" s="91"/>
      <c r="H3" s="92"/>
      <c r="J3" s="96">
        <v>47.5</v>
      </c>
      <c r="K3" s="96"/>
      <c r="L3" s="96"/>
      <c r="M3" s="96"/>
      <c r="N3" s="96">
        <v>47.5</v>
      </c>
      <c r="O3" s="96">
        <v>5</v>
      </c>
      <c r="P3" s="95"/>
      <c r="Q3" s="96"/>
      <c r="R3" s="96"/>
      <c r="S3" s="96"/>
      <c r="T3" s="95"/>
      <c r="U3" s="170"/>
      <c r="V3" s="95"/>
      <c r="W3" s="97"/>
      <c r="X3" s="97"/>
    </row>
    <row r="4" spans="2:24" s="93" customFormat="1" ht="20.25" customHeight="1" thickBot="1">
      <c r="B4" s="760" t="s">
        <v>38</v>
      </c>
      <c r="C4" s="754" t="s">
        <v>39</v>
      </c>
      <c r="D4" s="754" t="s">
        <v>40</v>
      </c>
      <c r="E4" s="754" t="s">
        <v>41</v>
      </c>
      <c r="F4" s="754" t="s">
        <v>42</v>
      </c>
      <c r="G4" s="754" t="s">
        <v>43</v>
      </c>
      <c r="H4" s="762" t="s">
        <v>263</v>
      </c>
      <c r="I4" s="764" t="s">
        <v>256</v>
      </c>
      <c r="J4" s="753" t="s">
        <v>44</v>
      </c>
      <c r="K4" s="754"/>
      <c r="L4" s="754"/>
      <c r="M4" s="754"/>
      <c r="N4" s="754" t="s">
        <v>45</v>
      </c>
      <c r="O4" s="756" t="s">
        <v>257</v>
      </c>
      <c r="P4" s="95"/>
      <c r="Q4" s="96" t="s">
        <v>264</v>
      </c>
      <c r="R4" s="96" t="s">
        <v>265</v>
      </c>
      <c r="S4" s="96"/>
      <c r="T4" s="95"/>
      <c r="U4" s="170"/>
      <c r="V4" s="95"/>
      <c r="W4" s="97"/>
      <c r="X4" s="97"/>
    </row>
    <row r="5" spans="2:24" s="93" customFormat="1" ht="20.25" customHeight="1" thickBot="1">
      <c r="B5" s="761"/>
      <c r="C5" s="755"/>
      <c r="D5" s="755"/>
      <c r="E5" s="755"/>
      <c r="F5" s="755"/>
      <c r="G5" s="755"/>
      <c r="H5" s="763"/>
      <c r="I5" s="755"/>
      <c r="J5" s="90" t="s">
        <v>46</v>
      </c>
      <c r="K5" s="98" t="s">
        <v>47</v>
      </c>
      <c r="L5" s="98" t="s">
        <v>48</v>
      </c>
      <c r="M5" s="98" t="s">
        <v>49</v>
      </c>
      <c r="N5" s="755"/>
      <c r="O5" s="757"/>
      <c r="P5" s="95"/>
      <c r="Q5" s="95"/>
      <c r="R5" s="96" t="s">
        <v>266</v>
      </c>
      <c r="S5" s="96" t="s">
        <v>267</v>
      </c>
      <c r="T5" s="95"/>
      <c r="U5" s="174" t="s">
        <v>278</v>
      </c>
      <c r="V5" s="95"/>
      <c r="W5" s="97"/>
      <c r="X5" s="97"/>
    </row>
    <row r="6" spans="2:24" s="93" customFormat="1" ht="20.25" hidden="1" customHeight="1">
      <c r="B6" s="99" t="s">
        <v>268</v>
      </c>
      <c r="C6" s="100"/>
      <c r="D6" s="101"/>
      <c r="E6" s="101"/>
      <c r="F6" s="101"/>
      <c r="G6" s="101"/>
      <c r="H6" s="102">
        <f t="array" ref="H6">SUMPRODUCT($J$3:$O$3,J6:O6)/SUM(($J$3:$O$3)*(J6:O6&lt;&gt;"."))</f>
        <v>95.481801353479327</v>
      </c>
      <c r="I6" s="103">
        <f t="array" ref="I6">SUMPRODUCT($J$3:$N$3,J6:N6)/SUM(($J$3:$N$3)*(J6:N6&lt;&gt;"."))</f>
        <v>95.406587754793676</v>
      </c>
      <c r="J6" s="104">
        <v>95.058442535106749</v>
      </c>
      <c r="K6" s="103">
        <v>94.967424351810621</v>
      </c>
      <c r="L6" s="103">
        <v>95.243771972360278</v>
      </c>
      <c r="M6" s="103">
        <v>95.472119476121819</v>
      </c>
      <c r="N6" s="103">
        <v>95.754732974480618</v>
      </c>
      <c r="O6" s="105">
        <v>96.910859728506793</v>
      </c>
      <c r="P6" s="95"/>
      <c r="Q6" s="96"/>
      <c r="R6" s="96"/>
      <c r="S6" s="96"/>
      <c r="T6" s="95"/>
      <c r="U6" s="171"/>
      <c r="V6" s="95"/>
      <c r="W6" s="97"/>
      <c r="X6" s="97"/>
    </row>
    <row r="7" spans="2:24" ht="20.25" hidden="1" customHeight="1">
      <c r="B7" s="106" t="s">
        <v>269</v>
      </c>
      <c r="C7" s="107"/>
      <c r="D7" s="108" t="s">
        <v>52</v>
      </c>
      <c r="E7" s="108" t="s">
        <v>52</v>
      </c>
      <c r="F7" s="108" t="s">
        <v>52</v>
      </c>
      <c r="G7" s="108" t="s">
        <v>52</v>
      </c>
      <c r="H7" s="109">
        <f t="array" ref="H7">SUMPRODUCT($J$3:$O$3,J7:O7)/SUM(($J$3:$O$3)*(J7:O7&lt;&gt;"."))</f>
        <v>93.766098057134229</v>
      </c>
      <c r="I7" s="110">
        <f t="array" ref="I7">SUMPRODUCT($J$3:$N$3,J7:N7)/SUM(($J$3:$N$3)*(J7:N7&lt;&gt;"."))</f>
        <v>93.706658241959474</v>
      </c>
      <c r="J7" s="111">
        <v>92.542105796556214</v>
      </c>
      <c r="K7" s="112">
        <v>92.529709419342126</v>
      </c>
      <c r="L7" s="112">
        <v>92.215070143492753</v>
      </c>
      <c r="M7" s="113">
        <v>93.40649732113279</v>
      </c>
      <c r="N7" s="111">
        <v>94.871210687362719</v>
      </c>
      <c r="O7" s="114">
        <v>94.895454545454541</v>
      </c>
      <c r="Q7" s="115" t="s">
        <v>270</v>
      </c>
      <c r="R7" s="87" t="str">
        <f t="shared" ref="R7:R70" si="0">IF($D7=R$5,H7,".")</f>
        <v>.</v>
      </c>
      <c r="S7" s="87" t="str">
        <f t="shared" ref="S7:S70" si="1">IF($D7=S$5,H7,".")</f>
        <v>.</v>
      </c>
      <c r="U7" s="171"/>
    </row>
    <row r="8" spans="2:24" ht="23.25" hidden="1" customHeight="1">
      <c r="B8" s="116" t="s">
        <v>53</v>
      </c>
      <c r="C8" s="117" t="s">
        <v>54</v>
      </c>
      <c r="D8" s="118" t="s">
        <v>271</v>
      </c>
      <c r="E8" s="118">
        <f t="shared" ref="E8:E29" si="2">RANK(H8,$Q$8:$Q$238)</f>
        <v>168</v>
      </c>
      <c r="F8" s="118">
        <f t="shared" ref="F8:F29" si="3">IF(D8="4급",RANK(H8,$R$8:$R$238),IF(D8="5급",RANK(H8,$S$8:$S$238),"-"))</f>
        <v>66</v>
      </c>
      <c r="G8" s="118">
        <f>RANK(H8,$H$8:$H$29)</f>
        <v>7</v>
      </c>
      <c r="H8" s="119">
        <f t="array" ref="H8">SUMPRODUCT($J$3:$O$3,J8:O8)/SUM(($J$3:$O$3)*(J8:O8&lt;&gt;"."))</f>
        <v>94.404463713905102</v>
      </c>
      <c r="I8" s="120">
        <f t="array" ref="I8">SUMPRODUCT($J$3:$N$3,J8:N8)/SUM(($J$3:$N$3)*(J8:N8&lt;&gt;"."))</f>
        <v>94.394172330426414</v>
      </c>
      <c r="J8" s="121">
        <v>93.160661579320035</v>
      </c>
      <c r="K8" s="122">
        <v>91.865061943607614</v>
      </c>
      <c r="L8" s="122">
        <v>94.422448979591834</v>
      </c>
      <c r="M8" s="123">
        <v>96.093820754716972</v>
      </c>
      <c r="N8" s="121">
        <v>95.627683081532822</v>
      </c>
      <c r="O8" s="124">
        <v>94.6</v>
      </c>
      <c r="Q8" s="115">
        <f t="shared" ref="Q8:Q29" si="4">H8</f>
        <v>94.404463713905102</v>
      </c>
      <c r="R8" s="87">
        <f t="shared" si="0"/>
        <v>94.404463713905102</v>
      </c>
      <c r="S8" s="87" t="str">
        <f t="shared" si="1"/>
        <v>.</v>
      </c>
      <c r="U8" s="171"/>
    </row>
    <row r="9" spans="2:24" ht="23.25" hidden="1" customHeight="1">
      <c r="B9" s="125"/>
      <c r="C9" s="117" t="s">
        <v>55</v>
      </c>
      <c r="D9" s="118" t="s">
        <v>271</v>
      </c>
      <c r="E9" s="118">
        <f t="shared" si="2"/>
        <v>144</v>
      </c>
      <c r="F9" s="118">
        <f t="shared" si="3"/>
        <v>49</v>
      </c>
      <c r="G9" s="118">
        <f t="shared" ref="G9:G29" si="5">RANK(H9,$H$8:$H$29)</f>
        <v>2</v>
      </c>
      <c r="H9" s="119">
        <f t="array" ref="H9">SUMPRODUCT($J$3:$O$3,J9:O9)/SUM(($J$3:$O$3)*(J9:O9&lt;&gt;"."))</f>
        <v>94.821750928101252</v>
      </c>
      <c r="I9" s="120">
        <f t="array" ref="I9">SUMPRODUCT($J$3:$N$3,J9:N9)/SUM(($J$3:$N$3)*(J9:N9&lt;&gt;"."))</f>
        <v>94.749211503264476</v>
      </c>
      <c r="J9" s="121">
        <v>93.493877551020404</v>
      </c>
      <c r="K9" s="122">
        <v>93.784401709401678</v>
      </c>
      <c r="L9" s="122">
        <v>91.923660714285703</v>
      </c>
      <c r="M9" s="123">
        <v>95.839130434782618</v>
      </c>
      <c r="N9" s="121">
        <v>96.00454545550852</v>
      </c>
      <c r="O9" s="124">
        <v>96.2</v>
      </c>
      <c r="Q9" s="115">
        <f t="shared" si="4"/>
        <v>94.821750928101252</v>
      </c>
      <c r="R9" s="87">
        <f t="shared" si="0"/>
        <v>94.821750928101252</v>
      </c>
      <c r="S9" s="87" t="str">
        <f t="shared" si="1"/>
        <v>.</v>
      </c>
      <c r="U9" s="171"/>
    </row>
    <row r="10" spans="2:24" ht="23.25" hidden="1" customHeight="1">
      <c r="B10" s="125"/>
      <c r="C10" s="117" t="s">
        <v>56</v>
      </c>
      <c r="D10" s="118" t="s">
        <v>271</v>
      </c>
      <c r="E10" s="118">
        <f t="shared" si="2"/>
        <v>164</v>
      </c>
      <c r="F10" s="118">
        <f t="shared" si="3"/>
        <v>63</v>
      </c>
      <c r="G10" s="118">
        <f t="shared" si="5"/>
        <v>5</v>
      </c>
      <c r="H10" s="119">
        <f t="array" ref="H10">SUMPRODUCT($J$3:$O$3,J10:O10)/SUM(($J$3:$O$3)*(J10:O10&lt;&gt;"."))</f>
        <v>94.448075256576828</v>
      </c>
      <c r="I10" s="120">
        <f t="array" ref="I10">SUMPRODUCT($J$3:$N$3,J10:N10)/SUM(($J$3:$N$3)*(J10:N10&lt;&gt;"."))</f>
        <v>94.419026585870341</v>
      </c>
      <c r="J10" s="121">
        <v>94.085117564667797</v>
      </c>
      <c r="K10" s="122">
        <v>94.525773195876269</v>
      </c>
      <c r="L10" s="122">
        <v>93.718946611253187</v>
      </c>
      <c r="M10" s="123">
        <v>92.606340823055334</v>
      </c>
      <c r="N10" s="121">
        <v>94.752935607072914</v>
      </c>
      <c r="O10" s="124">
        <v>95</v>
      </c>
      <c r="Q10" s="115">
        <f t="shared" si="4"/>
        <v>94.448075256576828</v>
      </c>
      <c r="R10" s="87">
        <f t="shared" si="0"/>
        <v>94.448075256576828</v>
      </c>
      <c r="S10" s="87" t="str">
        <f t="shared" si="1"/>
        <v>.</v>
      </c>
      <c r="U10" s="171"/>
    </row>
    <row r="11" spans="2:24" ht="23.25" hidden="1" customHeight="1">
      <c r="B11" s="125"/>
      <c r="C11" s="117" t="s">
        <v>57</v>
      </c>
      <c r="D11" s="118" t="s">
        <v>271</v>
      </c>
      <c r="E11" s="118">
        <f t="shared" si="2"/>
        <v>214</v>
      </c>
      <c r="F11" s="118">
        <f t="shared" si="3"/>
        <v>104</v>
      </c>
      <c r="G11" s="118">
        <f t="shared" si="5"/>
        <v>18</v>
      </c>
      <c r="H11" s="119">
        <f t="array" ref="H11">SUMPRODUCT($J$3:$O$3,J11:O11)/SUM(($J$3:$O$3)*(J11:O11&lt;&gt;"."))</f>
        <v>93.04167009820118</v>
      </c>
      <c r="I11" s="120">
        <f t="array" ref="I11">SUMPRODUCT($J$3:$N$3,J11:N11)/SUM(($J$3:$N$3)*(J11:N11&lt;&gt;"."))</f>
        <v>92.93333694547492</v>
      </c>
      <c r="J11" s="121">
        <v>91.657488284359857</v>
      </c>
      <c r="K11" s="122">
        <v>91.836295200254625</v>
      </c>
      <c r="L11" s="122">
        <v>89.836283185840713</v>
      </c>
      <c r="M11" s="123">
        <v>95.323750000000004</v>
      </c>
      <c r="N11" s="121">
        <v>94.209185606589969</v>
      </c>
      <c r="O11" s="124">
        <v>95.1</v>
      </c>
      <c r="Q11" s="115">
        <f t="shared" si="4"/>
        <v>93.04167009820118</v>
      </c>
      <c r="R11" s="87">
        <f t="shared" si="0"/>
        <v>93.04167009820118</v>
      </c>
      <c r="S11" s="87" t="str">
        <f t="shared" si="1"/>
        <v>.</v>
      </c>
      <c r="U11" s="171"/>
    </row>
    <row r="12" spans="2:24" ht="23.25" hidden="1" customHeight="1">
      <c r="B12" s="125"/>
      <c r="C12" s="117" t="s">
        <v>58</v>
      </c>
      <c r="D12" s="118" t="s">
        <v>271</v>
      </c>
      <c r="E12" s="118">
        <f t="shared" si="2"/>
        <v>199</v>
      </c>
      <c r="F12" s="118">
        <f t="shared" si="3"/>
        <v>92</v>
      </c>
      <c r="G12" s="118">
        <f t="shared" si="5"/>
        <v>13</v>
      </c>
      <c r="H12" s="119">
        <f t="array" ref="H12">SUMPRODUCT($J$3:$O$3,J12:O12)/SUM(($J$3:$O$3)*(J12:O12&lt;&gt;"."))</f>
        <v>93.639488965112179</v>
      </c>
      <c r="I12" s="120">
        <f t="array" ref="I12">SUMPRODUCT($J$3:$N$3,J12:N12)/SUM(($J$3:$N$3)*(J12:N12&lt;&gt;"."))</f>
        <v>93.667883121170718</v>
      </c>
      <c r="J12" s="121">
        <v>91.534503615896696</v>
      </c>
      <c r="K12" s="122">
        <v>89.252599999999987</v>
      </c>
      <c r="L12" s="122">
        <v>94.409616290943347</v>
      </c>
      <c r="M12" s="123">
        <v>96.685869565217402</v>
      </c>
      <c r="N12" s="121">
        <v>95.801262626444753</v>
      </c>
      <c r="O12" s="124">
        <v>93.1</v>
      </c>
      <c r="Q12" s="115">
        <f t="shared" si="4"/>
        <v>93.639488965112179</v>
      </c>
      <c r="R12" s="87">
        <f t="shared" si="0"/>
        <v>93.639488965112179</v>
      </c>
      <c r="S12" s="87" t="str">
        <f t="shared" si="1"/>
        <v>.</v>
      </c>
      <c r="U12" s="171"/>
    </row>
    <row r="13" spans="2:24" ht="23.25" hidden="1" customHeight="1">
      <c r="B13" s="125"/>
      <c r="C13" s="117" t="s">
        <v>60</v>
      </c>
      <c r="D13" s="118" t="s">
        <v>271</v>
      </c>
      <c r="E13" s="118">
        <f t="shared" si="2"/>
        <v>173</v>
      </c>
      <c r="F13" s="118">
        <f t="shared" si="3"/>
        <v>70</v>
      </c>
      <c r="G13" s="118">
        <f t="shared" si="5"/>
        <v>9</v>
      </c>
      <c r="H13" s="119">
        <f t="array" ref="H13">SUMPRODUCT($J$3:$O$3,J13:O13)/SUM(($J$3:$O$3)*(J13:O13&lt;&gt;"."))</f>
        <v>94.337280485648137</v>
      </c>
      <c r="I13" s="120">
        <f t="array" ref="I13">SUMPRODUCT($J$3:$N$3,J13:N13)/SUM(($J$3:$N$3)*(J13:N13&lt;&gt;"."))</f>
        <v>94.439242616471716</v>
      </c>
      <c r="J13" s="121">
        <v>93.187670838351579</v>
      </c>
      <c r="K13" s="122">
        <v>94.313095238095201</v>
      </c>
      <c r="L13" s="122">
        <v>90.689808259587025</v>
      </c>
      <c r="M13" s="123">
        <v>92.884210526315798</v>
      </c>
      <c r="N13" s="121">
        <v>95.690814394591868</v>
      </c>
      <c r="O13" s="124">
        <v>92.4</v>
      </c>
      <c r="Q13" s="115">
        <f t="shared" si="4"/>
        <v>94.337280485648137</v>
      </c>
      <c r="R13" s="87">
        <f t="shared" si="0"/>
        <v>94.337280485648137</v>
      </c>
      <c r="S13" s="87" t="str">
        <f t="shared" si="1"/>
        <v>.</v>
      </c>
      <c r="U13" s="171"/>
    </row>
    <row r="14" spans="2:24" ht="23.25" hidden="1" customHeight="1">
      <c r="B14" s="125"/>
      <c r="C14" s="117" t="s">
        <v>272</v>
      </c>
      <c r="D14" s="118" t="s">
        <v>271</v>
      </c>
      <c r="E14" s="118">
        <f t="shared" si="2"/>
        <v>158</v>
      </c>
      <c r="F14" s="118">
        <f t="shared" si="3"/>
        <v>58</v>
      </c>
      <c r="G14" s="118">
        <f t="shared" si="5"/>
        <v>4</v>
      </c>
      <c r="H14" s="119">
        <f t="array" ref="H14">SUMPRODUCT($J$3:$O$3,J14:O14)/SUM(($J$3:$O$3)*(J14:O14&lt;&gt;"."))</f>
        <v>94.563032705390583</v>
      </c>
      <c r="I14" s="120">
        <f t="array" ref="I14">SUMPRODUCT($J$3:$N$3,J14:N14)/SUM(($J$3:$N$3)*(J14:N14&lt;&gt;"."))</f>
        <v>94.734771268832191</v>
      </c>
      <c r="J14" s="121">
        <v>93.441228143612321</v>
      </c>
      <c r="K14" s="122">
        <v>94.726769911504391</v>
      </c>
      <c r="L14" s="122">
        <v>90.838362068965523</v>
      </c>
      <c r="M14" s="123">
        <v>93.689054776556034</v>
      </c>
      <c r="N14" s="121">
        <v>96.028314394052074</v>
      </c>
      <c r="O14" s="124">
        <v>91.3</v>
      </c>
      <c r="Q14" s="115">
        <f t="shared" si="4"/>
        <v>94.563032705390583</v>
      </c>
      <c r="R14" s="87">
        <f t="shared" si="0"/>
        <v>94.563032705390583</v>
      </c>
      <c r="S14" s="87" t="str">
        <f t="shared" si="1"/>
        <v>.</v>
      </c>
      <c r="U14" s="171"/>
    </row>
    <row r="15" spans="2:24" ht="23.25" hidden="1" customHeight="1">
      <c r="B15" s="125"/>
      <c r="C15" s="117" t="s">
        <v>61</v>
      </c>
      <c r="D15" s="118" t="s">
        <v>271</v>
      </c>
      <c r="E15" s="118">
        <f t="shared" si="2"/>
        <v>198</v>
      </c>
      <c r="F15" s="118">
        <f t="shared" si="3"/>
        <v>91</v>
      </c>
      <c r="G15" s="118">
        <f t="shared" si="5"/>
        <v>12</v>
      </c>
      <c r="H15" s="119">
        <f t="array" ref="H15">SUMPRODUCT($J$3:$O$3,J15:O15)/SUM(($J$3:$O$3)*(J15:O15&lt;&gt;"."))</f>
        <v>93.642820263843703</v>
      </c>
      <c r="I15" s="120">
        <f t="array" ref="I15">SUMPRODUCT($J$3:$N$3,J15:N15)/SUM(($J$3:$N$3)*(J15:N15&lt;&gt;"."))</f>
        <v>93.418758172467051</v>
      </c>
      <c r="J15" s="121">
        <v>91.376563061191376</v>
      </c>
      <c r="K15" s="122">
        <v>90.271052646424977</v>
      </c>
      <c r="L15" s="122">
        <v>93.334375000000023</v>
      </c>
      <c r="M15" s="123">
        <v>92.90781250000002</v>
      </c>
      <c r="N15" s="121">
        <v>95.460953283742725</v>
      </c>
      <c r="O15" s="124">
        <v>97.9</v>
      </c>
      <c r="Q15" s="115">
        <f t="shared" si="4"/>
        <v>93.642820263843703</v>
      </c>
      <c r="R15" s="87">
        <f t="shared" si="0"/>
        <v>93.642820263843703</v>
      </c>
      <c r="S15" s="87" t="str">
        <f t="shared" si="1"/>
        <v>.</v>
      </c>
      <c r="U15" s="171"/>
    </row>
    <row r="16" spans="2:24" ht="23.25" hidden="1" customHeight="1">
      <c r="B16" s="125"/>
      <c r="C16" s="117" t="s">
        <v>63</v>
      </c>
      <c r="D16" s="118" t="s">
        <v>271</v>
      </c>
      <c r="E16" s="118">
        <f t="shared" si="2"/>
        <v>204</v>
      </c>
      <c r="F16" s="118">
        <f t="shared" si="3"/>
        <v>97</v>
      </c>
      <c r="G16" s="118">
        <f t="shared" si="5"/>
        <v>15</v>
      </c>
      <c r="H16" s="119">
        <f t="array" ref="H16">SUMPRODUCT($J$3:$O$3,J16:O16)/SUM(($J$3:$O$3)*(J16:O16&lt;&gt;"."))</f>
        <v>93.559433592857843</v>
      </c>
      <c r="I16" s="120">
        <f t="array" ref="I16">SUMPRODUCT($J$3:$N$3,J16:N16)/SUM(($J$3:$N$3)*(J16:N16&lt;&gt;"."))</f>
        <v>93.373087992481942</v>
      </c>
      <c r="J16" s="121">
        <v>91.276794671552565</v>
      </c>
      <c r="K16" s="122">
        <v>89.563459093354197</v>
      </c>
      <c r="L16" s="122">
        <v>93.479629629629642</v>
      </c>
      <c r="M16" s="123">
        <v>95.293181818181807</v>
      </c>
      <c r="N16" s="121">
        <v>95.469381313411304</v>
      </c>
      <c r="O16" s="124">
        <v>97.1</v>
      </c>
      <c r="Q16" s="115">
        <f t="shared" si="4"/>
        <v>93.559433592857843</v>
      </c>
      <c r="R16" s="87">
        <f t="shared" si="0"/>
        <v>93.559433592857843</v>
      </c>
      <c r="S16" s="87" t="str">
        <f t="shared" si="1"/>
        <v>.</v>
      </c>
      <c r="U16" s="171"/>
    </row>
    <row r="17" spans="2:21" ht="23.25" hidden="1" customHeight="1">
      <c r="B17" s="125"/>
      <c r="C17" s="117" t="s">
        <v>64</v>
      </c>
      <c r="D17" s="118" t="s">
        <v>271</v>
      </c>
      <c r="E17" s="118">
        <f t="shared" si="2"/>
        <v>185</v>
      </c>
      <c r="F17" s="118">
        <f t="shared" si="3"/>
        <v>80</v>
      </c>
      <c r="G17" s="118">
        <f t="shared" si="5"/>
        <v>10</v>
      </c>
      <c r="H17" s="119">
        <f t="array" ref="H17">SUMPRODUCT($J$3:$O$3,J17:O17)/SUM(($J$3:$O$3)*(J17:O17&lt;&gt;"."))</f>
        <v>94.042923068020428</v>
      </c>
      <c r="I17" s="120">
        <f t="array" ref="I17">SUMPRODUCT($J$3:$N$3,J17:N17)/SUM(($J$3:$N$3)*(J17:N17&lt;&gt;"."))</f>
        <v>93.934655861074134</v>
      </c>
      <c r="J17" s="121">
        <v>92.647342024095224</v>
      </c>
      <c r="K17" s="122">
        <v>92.846132596685052</v>
      </c>
      <c r="L17" s="122">
        <v>91.82150128132119</v>
      </c>
      <c r="M17" s="123">
        <v>93.322250580046415</v>
      </c>
      <c r="N17" s="121">
        <v>95.22196969805303</v>
      </c>
      <c r="O17" s="124">
        <v>96.1</v>
      </c>
      <c r="Q17" s="115">
        <f t="shared" si="4"/>
        <v>94.042923068020428</v>
      </c>
      <c r="R17" s="87">
        <f t="shared" si="0"/>
        <v>94.042923068020428</v>
      </c>
      <c r="S17" s="87" t="str">
        <f t="shared" si="1"/>
        <v>.</v>
      </c>
      <c r="U17" s="171"/>
    </row>
    <row r="18" spans="2:21" ht="23.25" hidden="1" customHeight="1">
      <c r="B18" s="125"/>
      <c r="C18" s="117" t="s">
        <v>62</v>
      </c>
      <c r="D18" s="118" t="s">
        <v>271</v>
      </c>
      <c r="E18" s="118">
        <f t="shared" si="2"/>
        <v>212</v>
      </c>
      <c r="F18" s="118">
        <f t="shared" si="3"/>
        <v>103</v>
      </c>
      <c r="G18" s="118">
        <f t="shared" si="5"/>
        <v>17</v>
      </c>
      <c r="H18" s="119">
        <f t="array" ref="H18">SUMPRODUCT($J$3:$O$3,J18:O18)/SUM(($J$3:$O$3)*(J18:O18&lt;&gt;"."))</f>
        <v>93.234765727810739</v>
      </c>
      <c r="I18" s="120">
        <f t="array" ref="I18">SUMPRODUCT($J$3:$N$3,J18:N18)/SUM(($J$3:$N$3)*(J18:N18&lt;&gt;"."))</f>
        <v>92.941858660853413</v>
      </c>
      <c r="J18" s="121">
        <v>92.687631460818253</v>
      </c>
      <c r="K18" s="122">
        <v>93.121913580246897</v>
      </c>
      <c r="L18" s="122">
        <v>91.34732853982301</v>
      </c>
      <c r="M18" s="123">
        <v>93.772058823529406</v>
      </c>
      <c r="N18" s="121">
        <v>93.196085860888559</v>
      </c>
      <c r="O18" s="124">
        <v>98.8</v>
      </c>
      <c r="Q18" s="115">
        <f t="shared" si="4"/>
        <v>93.234765727810739</v>
      </c>
      <c r="R18" s="87">
        <f t="shared" si="0"/>
        <v>93.234765727810739</v>
      </c>
      <c r="S18" s="87" t="str">
        <f t="shared" si="1"/>
        <v>.</v>
      </c>
      <c r="U18" s="171"/>
    </row>
    <row r="19" spans="2:21" ht="23.25" hidden="1" customHeight="1">
      <c r="B19" s="125"/>
      <c r="C19" s="117" t="s">
        <v>65</v>
      </c>
      <c r="D19" s="118" t="s">
        <v>271</v>
      </c>
      <c r="E19" s="118">
        <f t="shared" si="2"/>
        <v>216</v>
      </c>
      <c r="F19" s="118">
        <f t="shared" si="3"/>
        <v>106</v>
      </c>
      <c r="G19" s="118">
        <f t="shared" si="5"/>
        <v>20</v>
      </c>
      <c r="H19" s="119">
        <f t="array" ref="H19">SUMPRODUCT($J$3:$O$3,J19:O19)/SUM(($J$3:$O$3)*(J19:O19&lt;&gt;"."))</f>
        <v>92.922503574350955</v>
      </c>
      <c r="I19" s="120">
        <f t="array" ref="I19">SUMPRODUCT($J$3:$N$3,J19:N19)/SUM(($J$3:$N$3)*(J19:N19&lt;&gt;"."))</f>
        <v>92.823687973001014</v>
      </c>
      <c r="J19" s="121">
        <v>91.681656248127965</v>
      </c>
      <c r="K19" s="122">
        <v>91.409090909090878</v>
      </c>
      <c r="L19" s="122">
        <v>91.368515997277058</v>
      </c>
      <c r="M19" s="123">
        <v>94.027546679924882</v>
      </c>
      <c r="N19" s="121">
        <v>93.96571969787405</v>
      </c>
      <c r="O19" s="124">
        <v>94.8</v>
      </c>
      <c r="Q19" s="115">
        <f t="shared" si="4"/>
        <v>92.922503574350955</v>
      </c>
      <c r="R19" s="87">
        <f t="shared" si="0"/>
        <v>92.922503574350955</v>
      </c>
      <c r="S19" s="87" t="str">
        <f t="shared" si="1"/>
        <v>.</v>
      </c>
      <c r="U19" s="171"/>
    </row>
    <row r="20" spans="2:21" ht="23.25" hidden="1" customHeight="1">
      <c r="B20" s="125"/>
      <c r="C20" s="117" t="s">
        <v>66</v>
      </c>
      <c r="D20" s="118" t="s">
        <v>271</v>
      </c>
      <c r="E20" s="118">
        <f t="shared" si="2"/>
        <v>197</v>
      </c>
      <c r="F20" s="118">
        <f t="shared" si="3"/>
        <v>90</v>
      </c>
      <c r="G20" s="118">
        <f t="shared" si="5"/>
        <v>11</v>
      </c>
      <c r="H20" s="119">
        <f t="array" ref="H20">SUMPRODUCT($J$3:$O$3,J20:O20)/SUM(($J$3:$O$3)*(J20:O20&lt;&gt;"."))</f>
        <v>93.643401209290957</v>
      </c>
      <c r="I20" s="120">
        <f t="array" ref="I20">SUMPRODUCT($J$3:$N$3,J20:N20)/SUM(($J$3:$N$3)*(J20:N20&lt;&gt;"."))</f>
        <v>93.866738115043105</v>
      </c>
      <c r="J20" s="121">
        <v>93.220565875215314</v>
      </c>
      <c r="K20" s="122">
        <v>93.578859879216694</v>
      </c>
      <c r="L20" s="122">
        <v>92.785465116279084</v>
      </c>
      <c r="M20" s="123">
        <v>92.329166666666666</v>
      </c>
      <c r="N20" s="121">
        <v>94.512910354870897</v>
      </c>
      <c r="O20" s="124">
        <v>89.4</v>
      </c>
      <c r="Q20" s="115">
        <f t="shared" si="4"/>
        <v>93.643401209290957</v>
      </c>
      <c r="R20" s="87">
        <f t="shared" si="0"/>
        <v>93.643401209290957</v>
      </c>
      <c r="S20" s="87" t="str">
        <f t="shared" si="1"/>
        <v>.</v>
      </c>
      <c r="U20" s="171"/>
    </row>
    <row r="21" spans="2:21" ht="23.25" hidden="1" customHeight="1">
      <c r="B21" s="125"/>
      <c r="C21" s="117" t="s">
        <v>68</v>
      </c>
      <c r="D21" s="118" t="s">
        <v>271</v>
      </c>
      <c r="E21" s="118">
        <f t="shared" si="2"/>
        <v>205</v>
      </c>
      <c r="F21" s="118">
        <f t="shared" si="3"/>
        <v>98</v>
      </c>
      <c r="G21" s="118">
        <f t="shared" si="5"/>
        <v>16</v>
      </c>
      <c r="H21" s="119">
        <f t="array" ref="H21">SUMPRODUCT($J$3:$O$3,J21:O21)/SUM(($J$3:$O$3)*(J21:O21&lt;&gt;"."))</f>
        <v>93.536153654291823</v>
      </c>
      <c r="I21" s="120">
        <f t="array" ref="I21">SUMPRODUCT($J$3:$N$3,J21:N21)/SUM(($J$3:$N$3)*(J21:N21&lt;&gt;"."))</f>
        <v>93.464372267675614</v>
      </c>
      <c r="J21" s="121">
        <v>91.132595544807032</v>
      </c>
      <c r="K21" s="122">
        <v>91.338213121996986</v>
      </c>
      <c r="L21" s="122">
        <v>89.977003700011565</v>
      </c>
      <c r="M21" s="123">
        <v>93.058653846153845</v>
      </c>
      <c r="N21" s="121">
        <v>95.796148990544182</v>
      </c>
      <c r="O21" s="124">
        <v>94.9</v>
      </c>
      <c r="Q21" s="115">
        <f t="shared" si="4"/>
        <v>93.536153654291823</v>
      </c>
      <c r="R21" s="87">
        <f t="shared" si="0"/>
        <v>93.536153654291823</v>
      </c>
      <c r="S21" s="87" t="str">
        <f t="shared" si="1"/>
        <v>.</v>
      </c>
      <c r="U21" s="171"/>
    </row>
    <row r="22" spans="2:21" ht="23.25" hidden="1" customHeight="1">
      <c r="B22" s="125"/>
      <c r="C22" s="117" t="s">
        <v>67</v>
      </c>
      <c r="D22" s="118" t="s">
        <v>271</v>
      </c>
      <c r="E22" s="118">
        <f t="shared" si="2"/>
        <v>215</v>
      </c>
      <c r="F22" s="118">
        <f t="shared" si="3"/>
        <v>105</v>
      </c>
      <c r="G22" s="118">
        <f t="shared" si="5"/>
        <v>19</v>
      </c>
      <c r="H22" s="119">
        <f t="array" ref="H22">SUMPRODUCT($J$3:$O$3,J22:O22)/SUM(($J$3:$O$3)*(J22:O22&lt;&gt;"."))</f>
        <v>92.950313565278734</v>
      </c>
      <c r="I22" s="120">
        <f t="array" ref="I22">SUMPRODUCT($J$3:$N$3,J22:N22)/SUM(($J$3:$N$3)*(J22:N22&lt;&gt;"."))</f>
        <v>92.9634879634513</v>
      </c>
      <c r="J22" s="121">
        <v>92.591275167785227</v>
      </c>
      <c r="K22" s="122">
        <v>91.635227272727263</v>
      </c>
      <c r="L22" s="122">
        <v>95.532558139534871</v>
      </c>
      <c r="M22" s="123">
        <v>90.23888888888888</v>
      </c>
      <c r="N22" s="121">
        <v>93.335700759117401</v>
      </c>
      <c r="O22" s="124">
        <v>92.7</v>
      </c>
      <c r="Q22" s="115">
        <f t="shared" si="4"/>
        <v>92.950313565278734</v>
      </c>
      <c r="R22" s="87">
        <f t="shared" si="0"/>
        <v>92.950313565278734</v>
      </c>
      <c r="S22" s="87" t="str">
        <f t="shared" si="1"/>
        <v>.</v>
      </c>
      <c r="U22" s="171"/>
    </row>
    <row r="23" spans="2:21" ht="23.25" hidden="1" customHeight="1">
      <c r="B23" s="125"/>
      <c r="C23" s="117" t="s">
        <v>71</v>
      </c>
      <c r="D23" s="118" t="s">
        <v>271</v>
      </c>
      <c r="E23" s="118">
        <f t="shared" si="2"/>
        <v>165</v>
      </c>
      <c r="F23" s="118">
        <f t="shared" si="3"/>
        <v>64</v>
      </c>
      <c r="G23" s="118">
        <f t="shared" si="5"/>
        <v>6</v>
      </c>
      <c r="H23" s="119">
        <f t="array" ref="H23">SUMPRODUCT($J$3:$O$3,J23:O23)/SUM(($J$3:$O$3)*(J23:O23&lt;&gt;"."))</f>
        <v>94.416674028371858</v>
      </c>
      <c r="I23" s="120">
        <f t="array" ref="I23">SUMPRODUCT($J$3:$N$3,J23:N23)/SUM(($J$3:$N$3)*(J23:N23&lt;&gt;"."))</f>
        <v>94.249130556180901</v>
      </c>
      <c r="J23" s="121">
        <v>92.819599494841626</v>
      </c>
      <c r="K23" s="122">
        <v>93.070540707363733</v>
      </c>
      <c r="L23" s="122">
        <v>92.513429203539815</v>
      </c>
      <c r="M23" s="123">
        <v>92.285294117647055</v>
      </c>
      <c r="N23" s="121">
        <v>95.678661617520177</v>
      </c>
      <c r="O23" s="124">
        <v>97.6</v>
      </c>
      <c r="Q23" s="115">
        <f t="shared" si="4"/>
        <v>94.416674028371858</v>
      </c>
      <c r="R23" s="87">
        <f t="shared" si="0"/>
        <v>94.416674028371858</v>
      </c>
      <c r="S23" s="87" t="str">
        <f t="shared" si="1"/>
        <v>.</v>
      </c>
      <c r="U23" s="171"/>
    </row>
    <row r="24" spans="2:21" ht="23.25" hidden="1" customHeight="1">
      <c r="B24" s="125"/>
      <c r="C24" s="117" t="s">
        <v>72</v>
      </c>
      <c r="D24" s="118" t="s">
        <v>271</v>
      </c>
      <c r="E24" s="118">
        <f t="shared" si="2"/>
        <v>203</v>
      </c>
      <c r="F24" s="118">
        <f t="shared" si="3"/>
        <v>96</v>
      </c>
      <c r="G24" s="118">
        <f t="shared" si="5"/>
        <v>14</v>
      </c>
      <c r="H24" s="119">
        <f t="array" ref="H24">SUMPRODUCT($J$3:$O$3,J24:O24)/SUM(($J$3:$O$3)*(J24:O24&lt;&gt;"."))</f>
        <v>93.56612396491451</v>
      </c>
      <c r="I24" s="120">
        <f t="array" ref="I24">SUMPRODUCT($J$3:$N$3,J24:N24)/SUM(($J$3:$N$3)*(J24:N24&lt;&gt;"."))</f>
        <v>93.301183120962648</v>
      </c>
      <c r="J24" s="121">
        <v>93.434626342318637</v>
      </c>
      <c r="K24" s="122">
        <v>93.804994509851767</v>
      </c>
      <c r="L24" s="122">
        <v>93.492934782608714</v>
      </c>
      <c r="M24" s="123">
        <v>91.402631578947364</v>
      </c>
      <c r="N24" s="121">
        <v>93.167739899606673</v>
      </c>
      <c r="O24" s="124">
        <v>98.6</v>
      </c>
      <c r="Q24" s="115">
        <f t="shared" si="4"/>
        <v>93.56612396491451</v>
      </c>
      <c r="R24" s="87">
        <f t="shared" si="0"/>
        <v>93.56612396491451</v>
      </c>
      <c r="S24" s="87" t="str">
        <f t="shared" si="1"/>
        <v>.</v>
      </c>
      <c r="U24" s="171"/>
    </row>
    <row r="25" spans="2:21" ht="23.25" hidden="1" customHeight="1">
      <c r="B25" s="125"/>
      <c r="C25" s="117" t="s">
        <v>69</v>
      </c>
      <c r="D25" s="118" t="s">
        <v>271</v>
      </c>
      <c r="E25" s="118">
        <f t="shared" si="2"/>
        <v>222</v>
      </c>
      <c r="F25" s="118">
        <f t="shared" si="3"/>
        <v>111</v>
      </c>
      <c r="G25" s="118">
        <f t="shared" si="5"/>
        <v>21</v>
      </c>
      <c r="H25" s="119">
        <f t="array" ref="H25">SUMPRODUCT($J$3:$O$3,J25:O25)/SUM(($J$3:$O$3)*(J25:O25&lt;&gt;"."))</f>
        <v>92.215825719918826</v>
      </c>
      <c r="I25" s="120">
        <f t="array" ref="I25">SUMPRODUCT($J$3:$N$3,J25:N25)/SUM(($J$3:$N$3)*(J25:N25&lt;&gt;"."))</f>
        <v>91.911395494651401</v>
      </c>
      <c r="J25" s="121">
        <v>90.726768260467551</v>
      </c>
      <c r="K25" s="122">
        <v>89.982647058823531</v>
      </c>
      <c r="L25" s="122">
        <v>91.118733732431025</v>
      </c>
      <c r="M25" s="123">
        <v>94.054999999999993</v>
      </c>
      <c r="N25" s="121">
        <v>93.096022728835223</v>
      </c>
      <c r="O25" s="124">
        <v>98</v>
      </c>
      <c r="Q25" s="115">
        <f t="shared" si="4"/>
        <v>92.215825719918826</v>
      </c>
      <c r="R25" s="87">
        <f t="shared" si="0"/>
        <v>92.215825719918826</v>
      </c>
      <c r="S25" s="87" t="str">
        <f t="shared" si="1"/>
        <v>.</v>
      </c>
      <c r="U25" s="171"/>
    </row>
    <row r="26" spans="2:21" ht="23.25" hidden="1" customHeight="1">
      <c r="B26" s="125"/>
      <c r="C26" s="117" t="s">
        <v>70</v>
      </c>
      <c r="D26" s="118" t="s">
        <v>271</v>
      </c>
      <c r="E26" s="118">
        <f t="shared" si="2"/>
        <v>170</v>
      </c>
      <c r="F26" s="118">
        <f t="shared" si="3"/>
        <v>68</v>
      </c>
      <c r="G26" s="118">
        <f t="shared" si="5"/>
        <v>8</v>
      </c>
      <c r="H26" s="119">
        <f t="array" ref="H26">SUMPRODUCT($J$3:$O$3,J26:O26)/SUM(($J$3:$O$3)*(J26:O26&lt;&gt;"."))</f>
        <v>94.359215934574934</v>
      </c>
      <c r="I26" s="120">
        <f t="array" ref="I26">SUMPRODUCT($J$3:$N$3,J26:N26)/SUM(($J$3:$N$3)*(J26:N26&lt;&gt;"."))</f>
        <v>94.104437825868345</v>
      </c>
      <c r="J26" s="121">
        <v>92.984286004741122</v>
      </c>
      <c r="K26" s="122">
        <v>93.048930563554677</v>
      </c>
      <c r="L26" s="122">
        <v>93.544186046511641</v>
      </c>
      <c r="M26" s="123">
        <v>91.062319644839079</v>
      </c>
      <c r="N26" s="121">
        <v>95.224589646995568</v>
      </c>
      <c r="O26" s="124">
        <v>99.2</v>
      </c>
      <c r="Q26" s="115">
        <f t="shared" si="4"/>
        <v>94.359215934574934</v>
      </c>
      <c r="R26" s="87">
        <f t="shared" si="0"/>
        <v>94.359215934574934</v>
      </c>
      <c r="S26" s="87" t="str">
        <f t="shared" si="1"/>
        <v>.</v>
      </c>
      <c r="U26" s="171"/>
    </row>
    <row r="27" spans="2:21" ht="23.25" hidden="1" customHeight="1">
      <c r="B27" s="125"/>
      <c r="C27" s="117" t="s">
        <v>73</v>
      </c>
      <c r="D27" s="118" t="s">
        <v>271</v>
      </c>
      <c r="E27" s="118">
        <f t="shared" si="2"/>
        <v>149</v>
      </c>
      <c r="F27" s="118">
        <f t="shared" si="3"/>
        <v>53</v>
      </c>
      <c r="G27" s="118">
        <f t="shared" si="5"/>
        <v>3</v>
      </c>
      <c r="H27" s="119">
        <f t="array" ref="H27">SUMPRODUCT($J$3:$O$3,J27:O27)/SUM(($J$3:$O$3)*(J27:O27&lt;&gt;"."))</f>
        <v>94.670159739968881</v>
      </c>
      <c r="I27" s="120">
        <f t="array" ref="I27">SUMPRODUCT($J$3:$N$3,J27:N27)/SUM(($J$3:$N$3)*(J27:N27&lt;&gt;"."))</f>
        <v>94.610694463125128</v>
      </c>
      <c r="J27" s="121">
        <v>93.338150289017335</v>
      </c>
      <c r="K27" s="122">
        <v>94.359158415841577</v>
      </c>
      <c r="L27" s="122">
        <v>91.852941176470594</v>
      </c>
      <c r="M27" s="123">
        <v>92.034523809523833</v>
      </c>
      <c r="N27" s="121">
        <v>95.883238637232949</v>
      </c>
      <c r="O27" s="124">
        <v>95.8</v>
      </c>
      <c r="Q27" s="115">
        <f t="shared" si="4"/>
        <v>94.670159739968881</v>
      </c>
      <c r="R27" s="87">
        <f t="shared" si="0"/>
        <v>94.670159739968881</v>
      </c>
      <c r="S27" s="87" t="str">
        <f t="shared" si="1"/>
        <v>.</v>
      </c>
      <c r="U27" s="171"/>
    </row>
    <row r="28" spans="2:21" ht="23.25" hidden="1" customHeight="1">
      <c r="B28" s="125"/>
      <c r="C28" s="117" t="s">
        <v>75</v>
      </c>
      <c r="D28" s="118" t="s">
        <v>271</v>
      </c>
      <c r="E28" s="118">
        <f t="shared" si="2"/>
        <v>223</v>
      </c>
      <c r="F28" s="118">
        <f t="shared" si="3"/>
        <v>112</v>
      </c>
      <c r="G28" s="118">
        <f t="shared" si="5"/>
        <v>22</v>
      </c>
      <c r="H28" s="119">
        <f t="array" ref="H28">SUMPRODUCT($J$3:$O$3,J28:O28)/SUM(($J$3:$O$3)*(J28:O28&lt;&gt;"."))</f>
        <v>92.053754986039934</v>
      </c>
      <c r="I28" s="120">
        <f t="array" ref="I28">SUMPRODUCT($J$3:$N$3,J28:N28)/SUM(($J$3:$N$3)*(J28:N28&lt;&gt;"."))</f>
        <v>92.098689458989398</v>
      </c>
      <c r="J28" s="121">
        <v>92.147315784720945</v>
      </c>
      <c r="K28" s="122">
        <v>92.55144628099174</v>
      </c>
      <c r="L28" s="122">
        <v>91.603220255653895</v>
      </c>
      <c r="M28" s="123">
        <v>91.217857142857127</v>
      </c>
      <c r="N28" s="121">
        <v>92.050063133257879</v>
      </c>
      <c r="O28" s="124">
        <v>91.2</v>
      </c>
      <c r="Q28" s="115">
        <f t="shared" si="4"/>
        <v>92.053754986039934</v>
      </c>
      <c r="R28" s="87">
        <f t="shared" si="0"/>
        <v>92.053754986039934</v>
      </c>
      <c r="S28" s="87" t="str">
        <f t="shared" si="1"/>
        <v>.</v>
      </c>
      <c r="U28" s="171"/>
    </row>
    <row r="29" spans="2:21" ht="23.25" hidden="1" customHeight="1" thickBot="1">
      <c r="B29" s="126"/>
      <c r="C29" s="127" t="s">
        <v>74</v>
      </c>
      <c r="D29" s="128" t="s">
        <v>271</v>
      </c>
      <c r="E29" s="128">
        <f t="shared" si="2"/>
        <v>123</v>
      </c>
      <c r="F29" s="128">
        <f t="shared" si="3"/>
        <v>30</v>
      </c>
      <c r="G29" s="128">
        <f t="shared" si="5"/>
        <v>1</v>
      </c>
      <c r="H29" s="129">
        <f t="array" ref="H29">SUMPRODUCT($J$3:$O$3,J29:O29)/SUM(($J$3:$O$3)*(J29:O29&lt;&gt;"."))</f>
        <v>95.137694433619686</v>
      </c>
      <c r="I29" s="130">
        <f t="array" ref="I29">SUMPRODUCT($J$3:$N$3,J29:N29)/SUM(($J$3:$N$3)*(J29:N29&lt;&gt;"."))</f>
        <v>95.518625719599669</v>
      </c>
      <c r="J29" s="131">
        <v>94.044543104958777</v>
      </c>
      <c r="K29" s="132">
        <v>96.397260273972591</v>
      </c>
      <c r="L29" s="132">
        <v>90.222890091116184</v>
      </c>
      <c r="M29" s="133">
        <v>92.933823529411768</v>
      </c>
      <c r="N29" s="131">
        <v>96.992708334240561</v>
      </c>
      <c r="O29" s="134">
        <v>87.9</v>
      </c>
      <c r="Q29" s="115">
        <f t="shared" si="4"/>
        <v>95.137694433619686</v>
      </c>
      <c r="R29" s="87">
        <f t="shared" si="0"/>
        <v>95.137694433619686</v>
      </c>
      <c r="S29" s="87" t="str">
        <f t="shared" si="1"/>
        <v>.</v>
      </c>
      <c r="U29" s="171"/>
    </row>
    <row r="30" spans="2:21" ht="23.25" hidden="1" customHeight="1">
      <c r="B30" s="135" t="s">
        <v>269</v>
      </c>
      <c r="C30" s="136"/>
      <c r="D30" s="108" t="s">
        <v>32</v>
      </c>
      <c r="E30" s="108" t="s">
        <v>32</v>
      </c>
      <c r="F30" s="108" t="s">
        <v>32</v>
      </c>
      <c r="G30" s="108" t="s">
        <v>32</v>
      </c>
      <c r="H30" s="109">
        <f t="array" ref="H30">SUMPRODUCT($J$3:$O$3,J30:O30)/SUM(($J$3:$O$3)*(J30:O30&lt;&gt;"."))</f>
        <v>94.109150607079059</v>
      </c>
      <c r="I30" s="110">
        <f t="array" ref="I30">SUMPRODUCT($J$3:$N$3,J30:N30)/SUM(($J$3:$N$3)*(J30:N30&lt;&gt;"."))</f>
        <v>94.023579586399023</v>
      </c>
      <c r="J30" s="111">
        <v>93.140066342055647</v>
      </c>
      <c r="K30" s="112">
        <v>93.209671448065166</v>
      </c>
      <c r="L30" s="112">
        <v>93.143486854848035</v>
      </c>
      <c r="M30" s="113">
        <v>92.836000442595861</v>
      </c>
      <c r="N30" s="137">
        <v>94.907092830742414</v>
      </c>
      <c r="O30" s="114">
        <v>95.734999999999999</v>
      </c>
      <c r="Q30" s="115" t="s">
        <v>270</v>
      </c>
      <c r="R30" s="87" t="str">
        <f t="shared" si="0"/>
        <v>.</v>
      </c>
      <c r="S30" s="87" t="str">
        <f t="shared" si="1"/>
        <v>.</v>
      </c>
      <c r="U30" s="171"/>
    </row>
    <row r="31" spans="2:21" ht="23.25" hidden="1" customHeight="1">
      <c r="B31" s="116" t="s">
        <v>76</v>
      </c>
      <c r="C31" s="138" t="s">
        <v>77</v>
      </c>
      <c r="D31" s="138" t="s">
        <v>271</v>
      </c>
      <c r="E31" s="118">
        <f t="shared" ref="E31:E70" si="6">RANK(H31,$Q$8:$Q$238)</f>
        <v>174</v>
      </c>
      <c r="F31" s="118">
        <f t="shared" ref="F31:F70" si="7">IF(D31="4급",RANK(H31,$R$8:$R$238),IF(D31="5급",RANK(H31,$S$8:$S$238),"-"))</f>
        <v>71</v>
      </c>
      <c r="G31" s="138">
        <f>RANK(H31,$H$31:$H$70)</f>
        <v>18</v>
      </c>
      <c r="H31" s="119">
        <f t="array" ref="H31">SUMPRODUCT($J$3:$O$3,J31:O31)/SUM(($J$3:$O$3)*(J31:O31&lt;&gt;"."))</f>
        <v>94.313887080088861</v>
      </c>
      <c r="I31" s="120">
        <f t="array" ref="I31">SUMPRODUCT($J$3:$N$3,J31:N31)/SUM(($J$3:$N$3)*(J31:N31&lt;&gt;"."))</f>
        <v>94.061986400093545</v>
      </c>
      <c r="J31" s="121">
        <v>93.192943758738821</v>
      </c>
      <c r="K31" s="122">
        <v>93.448652071005881</v>
      </c>
      <c r="L31" s="122">
        <v>91.966216216216253</v>
      </c>
      <c r="M31" s="123">
        <v>95.545515723270441</v>
      </c>
      <c r="N31" s="139">
        <v>94.931029041448241</v>
      </c>
      <c r="O31" s="124">
        <v>99.1</v>
      </c>
      <c r="Q31" s="115">
        <f t="shared" ref="Q31:Q70" si="8">H31</f>
        <v>94.313887080088861</v>
      </c>
      <c r="R31" s="87">
        <f t="shared" si="0"/>
        <v>94.313887080088861</v>
      </c>
      <c r="S31" s="87" t="str">
        <f t="shared" si="1"/>
        <v>.</v>
      </c>
      <c r="U31" s="171"/>
    </row>
    <row r="32" spans="2:21" ht="23.25" hidden="1" customHeight="1">
      <c r="B32" s="125"/>
      <c r="C32" s="138" t="s">
        <v>79</v>
      </c>
      <c r="D32" s="138" t="s">
        <v>271</v>
      </c>
      <c r="E32" s="118">
        <f t="shared" si="6"/>
        <v>209</v>
      </c>
      <c r="F32" s="118">
        <f t="shared" si="7"/>
        <v>102</v>
      </c>
      <c r="G32" s="138">
        <f t="shared" ref="G32:G70" si="9">RANK(H32,$H$31:$H$70)</f>
        <v>33</v>
      </c>
      <c r="H32" s="119">
        <f t="array" ref="H32">SUMPRODUCT($J$3:$O$3,J32:O32)/SUM(($J$3:$O$3)*(J32:O32&lt;&gt;"."))</f>
        <v>93.335409852701474</v>
      </c>
      <c r="I32" s="120">
        <f t="array" ref="I32">SUMPRODUCT($J$3:$N$3,J32:N32)/SUM(($J$3:$N$3)*(J32:N32&lt;&gt;"."))</f>
        <v>93.395168266001548</v>
      </c>
      <c r="J32" s="121">
        <v>93.46094890510949</v>
      </c>
      <c r="K32" s="122">
        <v>92.944480519480521</v>
      </c>
      <c r="L32" s="122">
        <v>93.029166666666669</v>
      </c>
      <c r="M32" s="123">
        <v>96.677777777777763</v>
      </c>
      <c r="N32" s="139">
        <v>93.329387626893592</v>
      </c>
      <c r="O32" s="124">
        <v>92.2</v>
      </c>
      <c r="Q32" s="115">
        <f t="shared" si="8"/>
        <v>93.335409852701474</v>
      </c>
      <c r="R32" s="87">
        <f t="shared" si="0"/>
        <v>93.335409852701474</v>
      </c>
      <c r="S32" s="87" t="str">
        <f t="shared" si="1"/>
        <v>.</v>
      </c>
      <c r="U32" s="171"/>
    </row>
    <row r="33" spans="2:21" ht="23.25" hidden="1" customHeight="1">
      <c r="B33" s="125"/>
      <c r="C33" s="138" t="s">
        <v>90</v>
      </c>
      <c r="D33" s="118" t="s">
        <v>271</v>
      </c>
      <c r="E33" s="118">
        <f t="shared" si="6"/>
        <v>132</v>
      </c>
      <c r="F33" s="118">
        <f t="shared" si="7"/>
        <v>38</v>
      </c>
      <c r="G33" s="138">
        <f t="shared" si="9"/>
        <v>7</v>
      </c>
      <c r="H33" s="119">
        <f t="array" ref="H33">SUMPRODUCT($J$3:$O$3,J33:O33)/SUM(($J$3:$O$3)*(J33:O33&lt;&gt;"."))</f>
        <v>95.048239314994348</v>
      </c>
      <c r="I33" s="120">
        <f t="array" ref="I33">SUMPRODUCT($J$3:$N$3,J33:N33)/SUM(($J$3:$N$3)*(J33:N33&lt;&gt;"."))</f>
        <v>94.961304542099313</v>
      </c>
      <c r="J33" s="121">
        <v>93.780342669902581</v>
      </c>
      <c r="K33" s="122">
        <v>94.254953946601361</v>
      </c>
      <c r="L33" s="122">
        <v>93.483653846153857</v>
      </c>
      <c r="M33" s="123">
        <v>92.480952380952374</v>
      </c>
      <c r="N33" s="139">
        <v>96.14226641429606</v>
      </c>
      <c r="O33" s="124">
        <v>96.7</v>
      </c>
      <c r="Q33" s="115">
        <f t="shared" si="8"/>
        <v>95.048239314994348</v>
      </c>
      <c r="R33" s="87">
        <f t="shared" si="0"/>
        <v>95.048239314994348</v>
      </c>
      <c r="S33" s="87" t="str">
        <f t="shared" si="1"/>
        <v>.</v>
      </c>
      <c r="U33" s="171"/>
    </row>
    <row r="34" spans="2:21" ht="23.25" hidden="1" customHeight="1">
      <c r="B34" s="125"/>
      <c r="C34" s="117" t="s">
        <v>78</v>
      </c>
      <c r="D34" s="118" t="s">
        <v>271</v>
      </c>
      <c r="E34" s="118">
        <f t="shared" si="6"/>
        <v>161</v>
      </c>
      <c r="F34" s="118">
        <f t="shared" si="7"/>
        <v>60</v>
      </c>
      <c r="G34" s="138">
        <f t="shared" si="9"/>
        <v>15</v>
      </c>
      <c r="H34" s="119">
        <f t="array" ref="H34">SUMPRODUCT($J$3:$O$3,J34:O34)/SUM(($J$3:$O$3)*(J34:O34&lt;&gt;"."))</f>
        <v>94.513158236049435</v>
      </c>
      <c r="I34" s="120">
        <f t="array" ref="I34">SUMPRODUCT($J$3:$N$3,J34:N34)/SUM(($J$3:$N$3)*(J34:N34&lt;&gt;"."))</f>
        <v>94.477008669525731</v>
      </c>
      <c r="J34" s="121">
        <v>92.670463045662586</v>
      </c>
      <c r="K34" s="122">
        <v>93.390685663863792</v>
      </c>
      <c r="L34" s="122">
        <v>92.577941176470588</v>
      </c>
      <c r="M34" s="123">
        <v>90.143333333333345</v>
      </c>
      <c r="N34" s="139">
        <v>96.28355429338886</v>
      </c>
      <c r="O34" s="124">
        <v>95.2</v>
      </c>
      <c r="Q34" s="115">
        <f t="shared" si="8"/>
        <v>94.513158236049435</v>
      </c>
      <c r="R34" s="87">
        <f t="shared" si="0"/>
        <v>94.513158236049435</v>
      </c>
      <c r="S34" s="87" t="str">
        <f t="shared" si="1"/>
        <v>.</v>
      </c>
      <c r="U34" s="171"/>
    </row>
    <row r="35" spans="2:21" ht="23.25" hidden="1" customHeight="1">
      <c r="B35" s="125"/>
      <c r="C35" s="138" t="s">
        <v>80</v>
      </c>
      <c r="D35" s="118" t="s">
        <v>271</v>
      </c>
      <c r="E35" s="118">
        <f t="shared" si="6"/>
        <v>217</v>
      </c>
      <c r="F35" s="118">
        <f t="shared" si="7"/>
        <v>107</v>
      </c>
      <c r="G35" s="138">
        <f t="shared" si="9"/>
        <v>36</v>
      </c>
      <c r="H35" s="119">
        <f t="array" ref="H35">SUMPRODUCT($J$3:$O$3,J35:O35)/SUM(($J$3:$O$3)*(J35:O35&lt;&gt;"."))</f>
        <v>92.869067241994344</v>
      </c>
      <c r="I35" s="120">
        <f t="array" ref="I35">SUMPRODUCT($J$3:$N$3,J35:N35)/SUM(($J$3:$N$3)*(J35:N35&lt;&gt;"."))</f>
        <v>92.820070781046681</v>
      </c>
      <c r="J35" s="121">
        <v>92.209238782501814</v>
      </c>
      <c r="K35" s="122">
        <v>91.562512449985647</v>
      </c>
      <c r="L35" s="122">
        <v>92.825565708372579</v>
      </c>
      <c r="M35" s="123">
        <v>94.444791666666674</v>
      </c>
      <c r="N35" s="139">
        <v>93.430902779591534</v>
      </c>
      <c r="O35" s="124">
        <v>93.8</v>
      </c>
      <c r="Q35" s="115">
        <f t="shared" si="8"/>
        <v>92.869067241994344</v>
      </c>
      <c r="R35" s="87">
        <f t="shared" si="0"/>
        <v>92.869067241994344</v>
      </c>
      <c r="S35" s="87" t="str">
        <f t="shared" si="1"/>
        <v>.</v>
      </c>
      <c r="U35" s="171"/>
    </row>
    <row r="36" spans="2:21" ht="20.25" hidden="1" customHeight="1">
      <c r="B36" s="125"/>
      <c r="C36" s="117" t="s">
        <v>83</v>
      </c>
      <c r="D36" s="118" t="s">
        <v>271</v>
      </c>
      <c r="E36" s="118">
        <f t="shared" si="6"/>
        <v>159</v>
      </c>
      <c r="F36" s="118">
        <f t="shared" si="7"/>
        <v>59</v>
      </c>
      <c r="G36" s="138">
        <f t="shared" si="9"/>
        <v>13</v>
      </c>
      <c r="H36" s="119">
        <f t="array" ref="H36">SUMPRODUCT($J$3:$O$3,J36:O36)/SUM(($J$3:$O$3)*(J36:O36&lt;&gt;"."))</f>
        <v>94.544882085670253</v>
      </c>
      <c r="I36" s="120">
        <f t="array" ref="I36">SUMPRODUCT($J$3:$N$3,J36:N36)/SUM(($J$3:$N$3)*(J36:N36&lt;&gt;"."))</f>
        <v>94.578823248073945</v>
      </c>
      <c r="J36" s="121">
        <v>93.78207831325301</v>
      </c>
      <c r="K36" s="122">
        <v>95.4</v>
      </c>
      <c r="L36" s="122">
        <v>91.615909090909085</v>
      </c>
      <c r="M36" s="123">
        <v>92.652272727272731</v>
      </c>
      <c r="N36" s="139">
        <v>95.375568182894895</v>
      </c>
      <c r="O36" s="124">
        <v>93.9</v>
      </c>
      <c r="Q36" s="115">
        <f t="shared" si="8"/>
        <v>94.544882085670253</v>
      </c>
      <c r="R36" s="87">
        <f t="shared" si="0"/>
        <v>94.544882085670253</v>
      </c>
      <c r="S36" s="87" t="str">
        <f t="shared" si="1"/>
        <v>.</v>
      </c>
      <c r="U36" s="171"/>
    </row>
    <row r="37" spans="2:21" ht="20.25" hidden="1" customHeight="1">
      <c r="B37" s="125"/>
      <c r="C37" s="117" t="s">
        <v>81</v>
      </c>
      <c r="D37" s="118" t="s">
        <v>271</v>
      </c>
      <c r="E37" s="118">
        <f t="shared" si="6"/>
        <v>194</v>
      </c>
      <c r="F37" s="118">
        <f t="shared" si="7"/>
        <v>87</v>
      </c>
      <c r="G37" s="138">
        <f t="shared" si="9"/>
        <v>26</v>
      </c>
      <c r="H37" s="119">
        <f t="array" ref="H37">SUMPRODUCT($J$3:$O$3,J37:O37)/SUM(($J$3:$O$3)*(J37:O37&lt;&gt;"."))</f>
        <v>93.740425503521948</v>
      </c>
      <c r="I37" s="120">
        <f t="array" ref="I37">SUMPRODUCT($J$3:$N$3,J37:N37)/SUM(($J$3:$N$3)*(J37:N37&lt;&gt;"."))</f>
        <v>93.479395266865211</v>
      </c>
      <c r="J37" s="121">
        <v>92.620817047914159</v>
      </c>
      <c r="K37" s="122">
        <v>92.144705882352937</v>
      </c>
      <c r="L37" s="122">
        <v>94.396195652173915</v>
      </c>
      <c r="M37" s="123">
        <v>90.332041118845055</v>
      </c>
      <c r="N37" s="139">
        <v>94.337973485816292</v>
      </c>
      <c r="O37" s="124">
        <v>98.7</v>
      </c>
      <c r="Q37" s="115">
        <f t="shared" si="8"/>
        <v>93.740425503521948</v>
      </c>
      <c r="R37" s="87">
        <f t="shared" si="0"/>
        <v>93.740425503521948</v>
      </c>
      <c r="S37" s="87" t="str">
        <f t="shared" si="1"/>
        <v>.</v>
      </c>
      <c r="U37" s="171"/>
    </row>
    <row r="38" spans="2:21" ht="23.25" hidden="1" customHeight="1">
      <c r="B38" s="125"/>
      <c r="C38" s="138" t="s">
        <v>82</v>
      </c>
      <c r="D38" s="118" t="s">
        <v>271</v>
      </c>
      <c r="E38" s="118">
        <f t="shared" si="6"/>
        <v>208</v>
      </c>
      <c r="F38" s="118">
        <f t="shared" si="7"/>
        <v>101</v>
      </c>
      <c r="G38" s="138">
        <f t="shared" si="9"/>
        <v>32</v>
      </c>
      <c r="H38" s="119">
        <f t="array" ref="H38">SUMPRODUCT($J$3:$O$3,J38:O38)/SUM(($J$3:$O$3)*(J38:O38&lt;&gt;"."))</f>
        <v>93.351686466263288</v>
      </c>
      <c r="I38" s="120">
        <f t="array" ref="I38">SUMPRODUCT($J$3:$N$3,J38:N38)/SUM(($J$3:$N$3)*(J38:N38&lt;&gt;"."))</f>
        <v>93.191248911856093</v>
      </c>
      <c r="J38" s="121">
        <v>92.497586206896543</v>
      </c>
      <c r="K38" s="122">
        <v>95.317283950617252</v>
      </c>
      <c r="L38" s="122">
        <v>88.712222222222238</v>
      </c>
      <c r="M38" s="123">
        <v>89.442105263157899</v>
      </c>
      <c r="N38" s="139">
        <v>93.884911616815643</v>
      </c>
      <c r="O38" s="124">
        <v>96.4</v>
      </c>
      <c r="Q38" s="115">
        <f t="shared" si="8"/>
        <v>93.351686466263288</v>
      </c>
      <c r="R38" s="87">
        <f t="shared" si="0"/>
        <v>93.351686466263288</v>
      </c>
      <c r="S38" s="87" t="str">
        <f t="shared" si="1"/>
        <v>.</v>
      </c>
      <c r="U38" s="171"/>
    </row>
    <row r="39" spans="2:21" ht="20.25" hidden="1" customHeight="1">
      <c r="B39" s="125"/>
      <c r="C39" s="138" t="s">
        <v>273</v>
      </c>
      <c r="D39" s="118" t="s">
        <v>271</v>
      </c>
      <c r="E39" s="118">
        <f t="shared" si="6"/>
        <v>126</v>
      </c>
      <c r="F39" s="118">
        <f t="shared" si="7"/>
        <v>33</v>
      </c>
      <c r="G39" s="138">
        <f t="shared" si="9"/>
        <v>6</v>
      </c>
      <c r="H39" s="119">
        <f t="array" ref="H39">SUMPRODUCT($J$3:$O$3,J39:O39)/SUM(($J$3:$O$3)*(J39:O39&lt;&gt;"."))</f>
        <v>95.103639984738876</v>
      </c>
      <c r="I39" s="120">
        <f t="array" ref="I39">SUMPRODUCT($J$3:$N$3,J39:N39)/SUM(($J$3:$N$3)*(J39:N39&lt;&gt;"."))</f>
        <v>94.998568404988291</v>
      </c>
      <c r="J39" s="121">
        <v>95.296568627450995</v>
      </c>
      <c r="K39" s="122">
        <v>94.368965517241392</v>
      </c>
      <c r="L39" s="122">
        <v>96.445967741935476</v>
      </c>
      <c r="M39" s="123">
        <v>96.694230769230757</v>
      </c>
      <c r="N39" s="139">
        <v>94.700568182525572</v>
      </c>
      <c r="O39" s="124">
        <v>97.1</v>
      </c>
      <c r="Q39" s="115">
        <f t="shared" si="8"/>
        <v>95.103639984738876</v>
      </c>
      <c r="R39" s="87">
        <f t="shared" si="0"/>
        <v>95.103639984738876</v>
      </c>
      <c r="S39" s="87" t="str">
        <f t="shared" si="1"/>
        <v>.</v>
      </c>
      <c r="U39" s="171"/>
    </row>
    <row r="40" spans="2:21" ht="20.25" hidden="1" customHeight="1">
      <c r="B40" s="125"/>
      <c r="C40" s="138" t="s">
        <v>87</v>
      </c>
      <c r="D40" s="118" t="s">
        <v>271</v>
      </c>
      <c r="E40" s="118">
        <f t="shared" si="6"/>
        <v>169</v>
      </c>
      <c r="F40" s="118">
        <f t="shared" si="7"/>
        <v>67</v>
      </c>
      <c r="G40" s="138">
        <f t="shared" si="9"/>
        <v>16</v>
      </c>
      <c r="H40" s="119">
        <f t="array" ref="H40">SUMPRODUCT($J$3:$O$3,J40:O40)/SUM(($J$3:$O$3)*(J40:O40&lt;&gt;"."))</f>
        <v>94.365944497488073</v>
      </c>
      <c r="I40" s="120">
        <f t="array" ref="I40">SUMPRODUCT($J$3:$N$3,J40:N40)/SUM(($J$3:$N$3)*(J40:N40&lt;&gt;"."))</f>
        <v>94.179941576303236</v>
      </c>
      <c r="J40" s="121">
        <v>93.874119262333437</v>
      </c>
      <c r="K40" s="122">
        <v>94.002352941176454</v>
      </c>
      <c r="L40" s="122">
        <v>92.806893309318241</v>
      </c>
      <c r="M40" s="123">
        <v>95.81805555555556</v>
      </c>
      <c r="N40" s="139">
        <v>94.485763890273034</v>
      </c>
      <c r="O40" s="124">
        <v>97.9</v>
      </c>
      <c r="Q40" s="115">
        <f t="shared" si="8"/>
        <v>94.365944497488073</v>
      </c>
      <c r="R40" s="87">
        <f t="shared" si="0"/>
        <v>94.365944497488073</v>
      </c>
      <c r="S40" s="87" t="str">
        <f t="shared" si="1"/>
        <v>.</v>
      </c>
      <c r="U40" s="171"/>
    </row>
    <row r="41" spans="2:21" ht="20.25" hidden="1" customHeight="1">
      <c r="B41" s="125"/>
      <c r="C41" s="138" t="s">
        <v>88</v>
      </c>
      <c r="D41" s="118" t="s">
        <v>271</v>
      </c>
      <c r="E41" s="118">
        <f t="shared" si="6"/>
        <v>176</v>
      </c>
      <c r="F41" s="118">
        <f t="shared" si="7"/>
        <v>73</v>
      </c>
      <c r="G41" s="138">
        <f t="shared" si="9"/>
        <v>19</v>
      </c>
      <c r="H41" s="119">
        <f t="array" ref="H41">SUMPRODUCT($J$3:$O$3,J41:O41)/SUM(($J$3:$O$3)*(J41:O41&lt;&gt;"."))</f>
        <v>94.285669380832459</v>
      </c>
      <c r="I41" s="120">
        <f t="array" ref="I41">SUMPRODUCT($J$3:$N$3,J41:N41)/SUM(($J$3:$N$3)*(J41:N41&lt;&gt;"."))</f>
        <v>94.032283558771013</v>
      </c>
      <c r="J41" s="121">
        <v>91.323437066518665</v>
      </c>
      <c r="K41" s="122">
        <v>92.272677129431045</v>
      </c>
      <c r="L41" s="122">
        <v>91.588725490196111</v>
      </c>
      <c r="M41" s="123">
        <v>84.865946706388627</v>
      </c>
      <c r="N41" s="139">
        <v>96.741130051023362</v>
      </c>
      <c r="O41" s="124">
        <v>99.1</v>
      </c>
      <c r="Q41" s="115">
        <f t="shared" si="8"/>
        <v>94.285669380832459</v>
      </c>
      <c r="R41" s="87">
        <f t="shared" si="0"/>
        <v>94.285669380832459</v>
      </c>
      <c r="S41" s="87" t="str">
        <f t="shared" si="1"/>
        <v>.</v>
      </c>
      <c r="U41" s="171"/>
    </row>
    <row r="42" spans="2:21" ht="20.25" hidden="1" customHeight="1">
      <c r="B42" s="125"/>
      <c r="C42" s="117" t="s">
        <v>84</v>
      </c>
      <c r="D42" s="118" t="s">
        <v>271</v>
      </c>
      <c r="E42" s="118">
        <f t="shared" si="6"/>
        <v>207</v>
      </c>
      <c r="F42" s="118">
        <f t="shared" si="7"/>
        <v>100</v>
      </c>
      <c r="G42" s="138">
        <f t="shared" si="9"/>
        <v>31</v>
      </c>
      <c r="H42" s="119">
        <f t="array" ref="H42">SUMPRODUCT($J$3:$O$3,J42:O42)/SUM(($J$3:$O$3)*(J42:O42&lt;&gt;"."))</f>
        <v>93.464402042057571</v>
      </c>
      <c r="I42" s="120">
        <f t="array" ref="I42">SUMPRODUCT($J$3:$N$3,J42:N42)/SUM(($J$3:$N$3)*(J42:N42&lt;&gt;"."))</f>
        <v>93.42568636006061</v>
      </c>
      <c r="J42" s="121">
        <v>94.056170698436887</v>
      </c>
      <c r="K42" s="122">
        <v>94.663055763753547</v>
      </c>
      <c r="L42" s="122">
        <v>93.856655228463069</v>
      </c>
      <c r="M42" s="123">
        <v>91.358837006960556</v>
      </c>
      <c r="N42" s="139">
        <v>92.795202021684318</v>
      </c>
      <c r="O42" s="124">
        <v>94.2</v>
      </c>
      <c r="Q42" s="115">
        <f t="shared" si="8"/>
        <v>93.464402042057571</v>
      </c>
      <c r="R42" s="87">
        <f t="shared" si="0"/>
        <v>93.464402042057571</v>
      </c>
      <c r="S42" s="87" t="str">
        <f t="shared" si="1"/>
        <v>.</v>
      </c>
      <c r="U42" s="171"/>
    </row>
    <row r="43" spans="2:21" ht="20.25" hidden="1" customHeight="1">
      <c r="B43" s="125"/>
      <c r="C43" s="138" t="s">
        <v>85</v>
      </c>
      <c r="D43" s="118" t="s">
        <v>271</v>
      </c>
      <c r="E43" s="118">
        <f t="shared" si="6"/>
        <v>200</v>
      </c>
      <c r="F43" s="118">
        <f t="shared" si="7"/>
        <v>93</v>
      </c>
      <c r="G43" s="138">
        <f t="shared" si="9"/>
        <v>28</v>
      </c>
      <c r="H43" s="119">
        <f t="array" ref="H43">SUMPRODUCT($J$3:$O$3,J43:O43)/SUM(($J$3:$O$3)*(J43:O43&lt;&gt;"."))</f>
        <v>93.630705113731267</v>
      </c>
      <c r="I43" s="120">
        <f t="array" ref="I43">SUMPRODUCT($J$3:$N$3,J43:N43)/SUM(($J$3:$N$3)*(J43:N43&lt;&gt;"."))</f>
        <v>93.490215909190809</v>
      </c>
      <c r="J43" s="121">
        <v>91.810166666666646</v>
      </c>
      <c r="K43" s="122">
        <v>91.156470588235265</v>
      </c>
      <c r="L43" s="122">
        <v>93.089673913043455</v>
      </c>
      <c r="M43" s="123">
        <v>91.636842105263156</v>
      </c>
      <c r="N43" s="139">
        <v>95.170265151714958</v>
      </c>
      <c r="O43" s="124">
        <v>96.3</v>
      </c>
      <c r="Q43" s="115">
        <f t="shared" si="8"/>
        <v>93.630705113731267</v>
      </c>
      <c r="R43" s="87">
        <f t="shared" si="0"/>
        <v>93.630705113731267</v>
      </c>
      <c r="S43" s="87" t="str">
        <f t="shared" si="1"/>
        <v>.</v>
      </c>
      <c r="U43" s="171"/>
    </row>
    <row r="44" spans="2:21" ht="20.25" hidden="1" customHeight="1">
      <c r="B44" s="125"/>
      <c r="C44" s="117" t="s">
        <v>89</v>
      </c>
      <c r="D44" s="118" t="s">
        <v>271</v>
      </c>
      <c r="E44" s="118">
        <f t="shared" si="6"/>
        <v>177</v>
      </c>
      <c r="F44" s="118">
        <f t="shared" si="7"/>
        <v>74</v>
      </c>
      <c r="G44" s="138">
        <f t="shared" si="9"/>
        <v>20</v>
      </c>
      <c r="H44" s="119">
        <f t="array" ref="H44">SUMPRODUCT($J$3:$O$3,J44:O44)/SUM(($J$3:$O$3)*(J44:O44&lt;&gt;"."))</f>
        <v>94.264867033981176</v>
      </c>
      <c r="I44" s="120">
        <f t="array" ref="I44">SUMPRODUCT($J$3:$N$3,J44:N44)/SUM(($J$3:$N$3)*(J44:N44&lt;&gt;"."))</f>
        <v>94.131438983138082</v>
      </c>
      <c r="J44" s="121">
        <v>92.072032005551122</v>
      </c>
      <c r="K44" s="122">
        <v>91.862809917355349</v>
      </c>
      <c r="L44" s="122">
        <v>92.267537313432825</v>
      </c>
      <c r="M44" s="123">
        <v>92.541917276459031</v>
      </c>
      <c r="N44" s="139">
        <v>96.190845960725042</v>
      </c>
      <c r="O44" s="124">
        <v>96.8</v>
      </c>
      <c r="Q44" s="115">
        <f t="shared" si="8"/>
        <v>94.264867033981176</v>
      </c>
      <c r="R44" s="87">
        <f t="shared" si="0"/>
        <v>94.264867033981176</v>
      </c>
      <c r="S44" s="87" t="str">
        <f t="shared" si="1"/>
        <v>.</v>
      </c>
      <c r="U44" s="171"/>
    </row>
    <row r="45" spans="2:21" ht="20.25" hidden="1" customHeight="1">
      <c r="B45" s="125"/>
      <c r="C45" s="117" t="s">
        <v>86</v>
      </c>
      <c r="D45" s="118" t="s">
        <v>271</v>
      </c>
      <c r="E45" s="118">
        <f t="shared" si="6"/>
        <v>221</v>
      </c>
      <c r="F45" s="118">
        <f t="shared" si="7"/>
        <v>110</v>
      </c>
      <c r="G45" s="138">
        <f t="shared" si="9"/>
        <v>40</v>
      </c>
      <c r="H45" s="119">
        <f t="array" ref="H45">SUMPRODUCT($J$3:$O$3,J45:O45)/SUM(($J$3:$O$3)*(J45:O45&lt;&gt;"."))</f>
        <v>92.386356027588803</v>
      </c>
      <c r="I45" s="120">
        <f t="array" ref="I45">SUMPRODUCT($J$3:$N$3,J45:N45)/SUM(($J$3:$N$3)*(J45:N45&lt;&gt;"."))</f>
        <v>92.169848450093482</v>
      </c>
      <c r="J45" s="121">
        <v>91.961698162313581</v>
      </c>
      <c r="K45" s="122">
        <v>92.578089209962215</v>
      </c>
      <c r="L45" s="122">
        <v>91.006801525564711</v>
      </c>
      <c r="M45" s="123">
        <v>91.358695652173907</v>
      </c>
      <c r="N45" s="139">
        <v>92.377998737873398</v>
      </c>
      <c r="O45" s="124">
        <v>96.5</v>
      </c>
      <c r="Q45" s="115">
        <f t="shared" si="8"/>
        <v>92.386356027588803</v>
      </c>
      <c r="R45" s="87">
        <f t="shared" si="0"/>
        <v>92.386356027588803</v>
      </c>
      <c r="S45" s="87" t="str">
        <f t="shared" si="1"/>
        <v>.</v>
      </c>
      <c r="U45" s="171"/>
    </row>
    <row r="46" spans="2:21" ht="20.25" hidden="1" customHeight="1">
      <c r="B46" s="125"/>
      <c r="C46" s="117" t="s">
        <v>91</v>
      </c>
      <c r="D46" s="118" t="s">
        <v>271</v>
      </c>
      <c r="E46" s="118">
        <f t="shared" si="6"/>
        <v>184</v>
      </c>
      <c r="F46" s="118">
        <f t="shared" si="7"/>
        <v>79</v>
      </c>
      <c r="G46" s="138">
        <f t="shared" si="9"/>
        <v>23</v>
      </c>
      <c r="H46" s="119">
        <f t="array" ref="H46">SUMPRODUCT($J$3:$O$3,J46:O46)/SUM(($J$3:$O$3)*(J46:O46&lt;&gt;"."))</f>
        <v>94.076468958072624</v>
      </c>
      <c r="I46" s="120">
        <f t="array" ref="I46">SUMPRODUCT($J$3:$N$3,J46:N46)/SUM(($J$3:$N$3)*(J46:N46&lt;&gt;"."))</f>
        <v>94.006809429550131</v>
      </c>
      <c r="J46" s="121">
        <v>92.028107495069023</v>
      </c>
      <c r="K46" s="122">
        <v>91.52901322659244</v>
      </c>
      <c r="L46" s="122">
        <v>90.549999999999983</v>
      </c>
      <c r="M46" s="123">
        <v>97.839473684210532</v>
      </c>
      <c r="N46" s="139">
        <v>95.98551136403124</v>
      </c>
      <c r="O46" s="124">
        <v>95.4</v>
      </c>
      <c r="Q46" s="115">
        <f t="shared" si="8"/>
        <v>94.076468958072624</v>
      </c>
      <c r="R46" s="87">
        <f t="shared" si="0"/>
        <v>94.076468958072624</v>
      </c>
      <c r="S46" s="87" t="str">
        <f t="shared" si="1"/>
        <v>.</v>
      </c>
      <c r="U46" s="171"/>
    </row>
    <row r="47" spans="2:21" ht="20.25" hidden="1" customHeight="1">
      <c r="B47" s="125"/>
      <c r="C47" s="117" t="s">
        <v>92</v>
      </c>
      <c r="D47" s="118" t="s">
        <v>271</v>
      </c>
      <c r="E47" s="118">
        <f t="shared" si="6"/>
        <v>146</v>
      </c>
      <c r="F47" s="118">
        <f t="shared" si="7"/>
        <v>51</v>
      </c>
      <c r="G47" s="138">
        <f t="shared" si="9"/>
        <v>9</v>
      </c>
      <c r="H47" s="119">
        <f t="array" ref="H47">SUMPRODUCT($J$3:$O$3,J47:O47)/SUM(($J$3:$O$3)*(J47:O47&lt;&gt;"."))</f>
        <v>94.710315477400385</v>
      </c>
      <c r="I47" s="120">
        <f t="array" ref="I47">SUMPRODUCT($J$3:$N$3,J47:N47)/SUM(($J$3:$N$3)*(J47:N47&lt;&gt;"."))</f>
        <v>94.684542607789879</v>
      </c>
      <c r="J47" s="121">
        <v>93.495190012642567</v>
      </c>
      <c r="K47" s="122">
        <v>92.660511506561818</v>
      </c>
      <c r="L47" s="122">
        <v>94.906690105972089</v>
      </c>
      <c r="M47" s="123">
        <v>93.28479667847111</v>
      </c>
      <c r="N47" s="139">
        <v>95.873895202937177</v>
      </c>
      <c r="O47" s="124">
        <v>95.2</v>
      </c>
      <c r="Q47" s="115">
        <f t="shared" si="8"/>
        <v>94.710315477400385</v>
      </c>
      <c r="R47" s="87">
        <f t="shared" si="0"/>
        <v>94.710315477400385</v>
      </c>
      <c r="S47" s="87" t="str">
        <f t="shared" si="1"/>
        <v>.</v>
      </c>
      <c r="U47" s="171"/>
    </row>
    <row r="48" spans="2:21" ht="20.25" hidden="1" customHeight="1">
      <c r="B48" s="125"/>
      <c r="C48" s="117" t="s">
        <v>93</v>
      </c>
      <c r="D48" s="118" t="s">
        <v>271</v>
      </c>
      <c r="E48" s="118">
        <f t="shared" si="6"/>
        <v>188</v>
      </c>
      <c r="F48" s="118">
        <f t="shared" si="7"/>
        <v>83</v>
      </c>
      <c r="G48" s="138">
        <f t="shared" si="9"/>
        <v>24</v>
      </c>
      <c r="H48" s="119">
        <f t="array" ref="H48">SUMPRODUCT($J$3:$O$3,J48:O48)/SUM(($J$3:$O$3)*(J48:O48&lt;&gt;"."))</f>
        <v>93.926681029315517</v>
      </c>
      <c r="I48" s="120">
        <f t="array" ref="I48">SUMPRODUCT($J$3:$N$3,J48:N48)/SUM(($J$3:$N$3)*(J48:N48&lt;&gt;"."))</f>
        <v>93.764927399279486</v>
      </c>
      <c r="J48" s="121">
        <v>92.145606060606013</v>
      </c>
      <c r="K48" s="122">
        <v>93.367268041237111</v>
      </c>
      <c r="L48" s="122">
        <v>92.151562500000026</v>
      </c>
      <c r="M48" s="123">
        <v>86.206249999999997</v>
      </c>
      <c r="N48" s="139">
        <v>95.384248737952944</v>
      </c>
      <c r="O48" s="124">
        <v>97</v>
      </c>
      <c r="Q48" s="115">
        <f t="shared" si="8"/>
        <v>93.926681029315517</v>
      </c>
      <c r="R48" s="87">
        <f t="shared" si="0"/>
        <v>93.926681029315517</v>
      </c>
      <c r="S48" s="87" t="str">
        <f t="shared" si="1"/>
        <v>.</v>
      </c>
      <c r="U48" s="171"/>
    </row>
    <row r="49" spans="2:21" ht="20.25" hidden="1" customHeight="1">
      <c r="B49" s="125"/>
      <c r="C49" s="117" t="s">
        <v>95</v>
      </c>
      <c r="D49" s="118" t="s">
        <v>271</v>
      </c>
      <c r="E49" s="118">
        <f t="shared" si="6"/>
        <v>220</v>
      </c>
      <c r="F49" s="118">
        <f t="shared" si="7"/>
        <v>109</v>
      </c>
      <c r="G49" s="138">
        <f t="shared" si="9"/>
        <v>39</v>
      </c>
      <c r="H49" s="119">
        <f t="array" ref="H49">SUMPRODUCT($J$3:$O$3,J49:O49)/SUM(($J$3:$O$3)*(J49:O49&lt;&gt;"."))</f>
        <v>92.693723493057661</v>
      </c>
      <c r="I49" s="120">
        <f t="array" ref="I49">SUMPRODUCT($J$3:$N$3,J49:N49)/SUM(($J$3:$N$3)*(J49:N49&lt;&gt;"."))</f>
        <v>92.482866834797534</v>
      </c>
      <c r="J49" s="121">
        <v>89.86393442622952</v>
      </c>
      <c r="K49" s="122">
        <v>89.503985507246369</v>
      </c>
      <c r="L49" s="122">
        <v>88.356081081081072</v>
      </c>
      <c r="M49" s="123">
        <v>94.903125000000003</v>
      </c>
      <c r="N49" s="139">
        <v>95.101799243365534</v>
      </c>
      <c r="O49" s="124">
        <v>96.7</v>
      </c>
      <c r="Q49" s="115">
        <f t="shared" si="8"/>
        <v>92.693723493057661</v>
      </c>
      <c r="R49" s="87">
        <f t="shared" si="0"/>
        <v>92.693723493057661</v>
      </c>
      <c r="S49" s="87" t="str">
        <f t="shared" si="1"/>
        <v>.</v>
      </c>
      <c r="U49" s="171"/>
    </row>
    <row r="50" spans="2:21" ht="20.25" hidden="1" customHeight="1">
      <c r="B50" s="125"/>
      <c r="C50" s="138" t="s">
        <v>96</v>
      </c>
      <c r="D50" s="118" t="s">
        <v>271</v>
      </c>
      <c r="E50" s="118">
        <f t="shared" si="6"/>
        <v>157</v>
      </c>
      <c r="F50" s="118">
        <f t="shared" si="7"/>
        <v>57</v>
      </c>
      <c r="G50" s="138">
        <f t="shared" si="9"/>
        <v>12</v>
      </c>
      <c r="H50" s="119">
        <f t="array" ref="H50">SUMPRODUCT($J$3:$O$3,J50:O50)/SUM(($J$3:$O$3)*(J50:O50&lt;&gt;"."))</f>
        <v>94.584234244041582</v>
      </c>
      <c r="I50" s="120">
        <f t="array" ref="I50">SUMPRODUCT($J$3:$N$3,J50:N50)/SUM(($J$3:$N$3)*(J50:N50&lt;&gt;"."))</f>
        <v>94.457088677938501</v>
      </c>
      <c r="J50" s="121">
        <v>93.548868011910784</v>
      </c>
      <c r="K50" s="122">
        <v>94.042391605456416</v>
      </c>
      <c r="L50" s="122">
        <v>93.215056890012647</v>
      </c>
      <c r="M50" s="123">
        <v>92.129472802268637</v>
      </c>
      <c r="N50" s="139">
        <v>95.365309343966203</v>
      </c>
      <c r="O50" s="124">
        <v>97</v>
      </c>
      <c r="Q50" s="115">
        <f t="shared" si="8"/>
        <v>94.584234244041582</v>
      </c>
      <c r="R50" s="87">
        <f t="shared" si="0"/>
        <v>94.584234244041582</v>
      </c>
      <c r="S50" s="87" t="str">
        <f t="shared" si="1"/>
        <v>.</v>
      </c>
      <c r="U50" s="171"/>
    </row>
    <row r="51" spans="2:21" ht="20.25" hidden="1" customHeight="1">
      <c r="B51" s="125"/>
      <c r="C51" s="138" t="s">
        <v>97</v>
      </c>
      <c r="D51" s="118" t="s">
        <v>271</v>
      </c>
      <c r="E51" s="118">
        <f t="shared" si="6"/>
        <v>138</v>
      </c>
      <c r="F51" s="118">
        <f t="shared" si="7"/>
        <v>44</v>
      </c>
      <c r="G51" s="138">
        <f t="shared" si="9"/>
        <v>8</v>
      </c>
      <c r="H51" s="119">
        <f t="array" ref="H51">SUMPRODUCT($J$3:$O$3,J51:O51)/SUM(($J$3:$O$3)*(J51:O51&lt;&gt;"."))</f>
        <v>94.953740103781271</v>
      </c>
      <c r="I51" s="120">
        <f t="array" ref="I51">SUMPRODUCT($J$3:$N$3,J51:N51)/SUM(($J$3:$N$3)*(J51:N51&lt;&gt;"."))</f>
        <v>94.730252740822394</v>
      </c>
      <c r="J51" s="121">
        <v>94.213819875776409</v>
      </c>
      <c r="K51" s="122">
        <v>93.579301075268816</v>
      </c>
      <c r="L51" s="122">
        <v>94.680729166666666</v>
      </c>
      <c r="M51" s="123">
        <v>96.043750000000017</v>
      </c>
      <c r="N51" s="139">
        <v>95.246685605868393</v>
      </c>
      <c r="O51" s="124">
        <v>99.2</v>
      </c>
      <c r="Q51" s="115">
        <f t="shared" si="8"/>
        <v>94.953740103781271</v>
      </c>
      <c r="R51" s="87">
        <f t="shared" si="0"/>
        <v>94.953740103781271</v>
      </c>
      <c r="S51" s="87" t="str">
        <f t="shared" si="1"/>
        <v>.</v>
      </c>
      <c r="U51" s="171"/>
    </row>
    <row r="52" spans="2:21" ht="20.25" hidden="1" customHeight="1">
      <c r="B52" s="125"/>
      <c r="C52" s="138" t="s">
        <v>94</v>
      </c>
      <c r="D52" s="118" t="s">
        <v>271</v>
      </c>
      <c r="E52" s="118">
        <f t="shared" si="6"/>
        <v>201</v>
      </c>
      <c r="F52" s="118">
        <f t="shared" si="7"/>
        <v>94</v>
      </c>
      <c r="G52" s="138">
        <f t="shared" si="9"/>
        <v>29</v>
      </c>
      <c r="H52" s="119">
        <f t="array" ref="H52">SUMPRODUCT($J$3:$O$3,J52:O52)/SUM(($J$3:$O$3)*(J52:O52&lt;&gt;"."))</f>
        <v>93.587784464178227</v>
      </c>
      <c r="I52" s="120">
        <f t="array" ref="I52">SUMPRODUCT($J$3:$N$3,J52:N52)/SUM(($J$3:$N$3)*(J52:N52&lt;&gt;"."))</f>
        <v>93.434509962292864</v>
      </c>
      <c r="J52" s="121">
        <v>94.012548962715826</v>
      </c>
      <c r="K52" s="122">
        <v>95.196538461538466</v>
      </c>
      <c r="L52" s="122">
        <v>94.135774336283191</v>
      </c>
      <c r="M52" s="123">
        <v>89.195588235294125</v>
      </c>
      <c r="N52" s="139">
        <v>92.856470961869931</v>
      </c>
      <c r="O52" s="124">
        <v>96.5</v>
      </c>
      <c r="Q52" s="115">
        <f t="shared" si="8"/>
        <v>93.587784464178227</v>
      </c>
      <c r="R52" s="87">
        <f t="shared" si="0"/>
        <v>93.587784464178227</v>
      </c>
      <c r="S52" s="87" t="str">
        <f t="shared" si="1"/>
        <v>.</v>
      </c>
      <c r="U52" s="171"/>
    </row>
    <row r="53" spans="2:21" ht="20.25" hidden="1" customHeight="1">
      <c r="B53" s="125"/>
      <c r="C53" s="138" t="s">
        <v>98</v>
      </c>
      <c r="D53" s="118" t="s">
        <v>271</v>
      </c>
      <c r="E53" s="118">
        <f t="shared" si="6"/>
        <v>154</v>
      </c>
      <c r="F53" s="118">
        <f t="shared" si="7"/>
        <v>56</v>
      </c>
      <c r="G53" s="138">
        <f t="shared" si="9"/>
        <v>10</v>
      </c>
      <c r="H53" s="119">
        <f t="array" ref="H53">SUMPRODUCT($J$3:$O$3,J53:O53)/SUM(($J$3:$O$3)*(J53:O53&lt;&gt;"."))</f>
        <v>94.601898674392359</v>
      </c>
      <c r="I53" s="120">
        <f t="array" ref="I53">SUMPRODUCT($J$3:$N$3,J53:N53)/SUM(($J$3:$N$3)*(J53:N53&lt;&gt;"."))</f>
        <v>94.528314394097222</v>
      </c>
      <c r="J53" s="121">
        <v>92.517297979797974</v>
      </c>
      <c r="K53" s="122">
        <v>94.295297029702965</v>
      </c>
      <c r="L53" s="122">
        <v>91.758571428571415</v>
      </c>
      <c r="M53" s="123">
        <v>87.833333333333329</v>
      </c>
      <c r="N53" s="139">
        <v>96.539330808396457</v>
      </c>
      <c r="O53" s="124">
        <v>96</v>
      </c>
      <c r="Q53" s="115">
        <f t="shared" si="8"/>
        <v>94.601898674392359</v>
      </c>
      <c r="R53" s="87">
        <f t="shared" si="0"/>
        <v>94.601898674392359</v>
      </c>
      <c r="S53" s="87" t="str">
        <f t="shared" si="1"/>
        <v>.</v>
      </c>
      <c r="U53" s="171"/>
    </row>
    <row r="54" spans="2:21" ht="20.25" hidden="1" customHeight="1">
      <c r="B54" s="125"/>
      <c r="C54" s="138" t="s">
        <v>99</v>
      </c>
      <c r="D54" s="118" t="s">
        <v>271</v>
      </c>
      <c r="E54" s="118">
        <f t="shared" si="6"/>
        <v>219</v>
      </c>
      <c r="F54" s="118">
        <f t="shared" si="7"/>
        <v>108</v>
      </c>
      <c r="G54" s="138">
        <f t="shared" si="9"/>
        <v>38</v>
      </c>
      <c r="H54" s="119">
        <f t="array" ref="H54">SUMPRODUCT($J$3:$O$3,J54:O54)/SUM(($J$3:$O$3)*(J54:O54&lt;&gt;"."))</f>
        <v>92.723208465000795</v>
      </c>
      <c r="I54" s="120">
        <f t="array" ref="I54">SUMPRODUCT($J$3:$N$3,J54:N54)/SUM(($J$3:$N$3)*(J54:N54&lt;&gt;"."))</f>
        <v>92.656008910527149</v>
      </c>
      <c r="J54" s="121">
        <v>90.038596103561247</v>
      </c>
      <c r="K54" s="122">
        <v>90.742123287671234</v>
      </c>
      <c r="L54" s="122">
        <v>92.503378378378372</v>
      </c>
      <c r="M54" s="123">
        <v>81.128944315545255</v>
      </c>
      <c r="N54" s="139">
        <v>95.273421717493065</v>
      </c>
      <c r="O54" s="124">
        <v>94</v>
      </c>
      <c r="Q54" s="115">
        <f t="shared" si="8"/>
        <v>92.723208465000795</v>
      </c>
      <c r="R54" s="87">
        <f t="shared" si="0"/>
        <v>92.723208465000795</v>
      </c>
      <c r="S54" s="87" t="str">
        <f t="shared" si="1"/>
        <v>.</v>
      </c>
      <c r="U54" s="171"/>
    </row>
    <row r="55" spans="2:21" ht="20.25" hidden="1" customHeight="1">
      <c r="B55" s="125"/>
      <c r="C55" s="138" t="s">
        <v>104</v>
      </c>
      <c r="D55" s="118" t="s">
        <v>271</v>
      </c>
      <c r="E55" s="118">
        <f t="shared" si="6"/>
        <v>206</v>
      </c>
      <c r="F55" s="118">
        <f t="shared" si="7"/>
        <v>99</v>
      </c>
      <c r="G55" s="138">
        <f t="shared" si="9"/>
        <v>30</v>
      </c>
      <c r="H55" s="119">
        <f t="array" ref="H55">SUMPRODUCT($J$3:$O$3,J55:O55)/SUM(($J$3:$O$3)*(J55:O55&lt;&gt;"."))</f>
        <v>93.490306023277739</v>
      </c>
      <c r="I55" s="120">
        <f t="array" ref="I55">SUMPRODUCT($J$3:$N$3,J55:N55)/SUM(($J$3:$N$3)*(J55:N55&lt;&gt;"."))</f>
        <v>93.531901077134464</v>
      </c>
      <c r="J55" s="121">
        <v>93.863549627916342</v>
      </c>
      <c r="K55" s="122">
        <v>94.110483870967741</v>
      </c>
      <c r="L55" s="122">
        <v>93.136412241887896</v>
      </c>
      <c r="M55" s="123">
        <v>94.761956521739108</v>
      </c>
      <c r="N55" s="139">
        <v>93.200252526352585</v>
      </c>
      <c r="O55" s="124">
        <v>92.7</v>
      </c>
      <c r="Q55" s="115">
        <f t="shared" si="8"/>
        <v>93.490306023277739</v>
      </c>
      <c r="R55" s="87">
        <f t="shared" si="0"/>
        <v>93.490306023277739</v>
      </c>
      <c r="S55" s="87" t="str">
        <f t="shared" si="1"/>
        <v>.</v>
      </c>
      <c r="U55" s="171"/>
    </row>
    <row r="56" spans="2:21" ht="20.25" hidden="1" customHeight="1">
      <c r="B56" s="125"/>
      <c r="C56" s="117" t="s">
        <v>105</v>
      </c>
      <c r="D56" s="118" t="s">
        <v>271</v>
      </c>
      <c r="E56" s="118">
        <f t="shared" si="6"/>
        <v>181</v>
      </c>
      <c r="F56" s="118">
        <f t="shared" si="7"/>
        <v>77</v>
      </c>
      <c r="G56" s="138">
        <f t="shared" si="9"/>
        <v>21</v>
      </c>
      <c r="H56" s="119">
        <f t="array" ref="H56">SUMPRODUCT($J$3:$O$3,J56:O56)/SUM(($J$3:$O$3)*(J56:O56&lt;&gt;"."))</f>
        <v>94.140619404838759</v>
      </c>
      <c r="I56" s="120">
        <f t="array" ref="I56">SUMPRODUCT($J$3:$N$3,J56:N56)/SUM(($J$3:$N$3)*(J56:N56&lt;&gt;"."))</f>
        <v>94.016441478777651</v>
      </c>
      <c r="J56" s="121">
        <v>94.714038259746545</v>
      </c>
      <c r="K56" s="122">
        <v>93.231159040102185</v>
      </c>
      <c r="L56" s="122">
        <v>96.491279069767444</v>
      </c>
      <c r="M56" s="123">
        <v>96.152777777777771</v>
      </c>
      <c r="N56" s="139">
        <v>93.318844697808714</v>
      </c>
      <c r="O56" s="124">
        <v>96.5</v>
      </c>
      <c r="Q56" s="115">
        <f t="shared" si="8"/>
        <v>94.140619404838759</v>
      </c>
      <c r="R56" s="87">
        <f t="shared" si="0"/>
        <v>94.140619404838759</v>
      </c>
      <c r="S56" s="87" t="str">
        <f t="shared" si="1"/>
        <v>.</v>
      </c>
      <c r="U56" s="171"/>
    </row>
    <row r="57" spans="2:21" ht="20.25" hidden="1" customHeight="1">
      <c r="B57" s="125"/>
      <c r="C57" s="117" t="s">
        <v>100</v>
      </c>
      <c r="D57" s="118" t="s">
        <v>274</v>
      </c>
      <c r="E57" s="118">
        <f t="shared" si="6"/>
        <v>211</v>
      </c>
      <c r="F57" s="118">
        <f t="shared" si="7"/>
        <v>109</v>
      </c>
      <c r="G57" s="138">
        <f t="shared" si="9"/>
        <v>35</v>
      </c>
      <c r="H57" s="119">
        <f t="array" ref="H57">SUMPRODUCT($J$3:$O$3,J57:O57)/SUM(($J$3:$O$3)*(J57:O57&lt;&gt;"."))</f>
        <v>93.249523905340681</v>
      </c>
      <c r="I57" s="120">
        <f t="array" ref="I57">SUMPRODUCT($J$3:$N$3,J57:N57)/SUM(($J$3:$N$3)*(J57:N57&lt;&gt;"."))</f>
        <v>93.188972531937566</v>
      </c>
      <c r="J57" s="121">
        <v>92.932911392405032</v>
      </c>
      <c r="K57" s="122">
        <v>91.603571428571442</v>
      </c>
      <c r="L57" s="122">
        <v>92.55568181818181</v>
      </c>
      <c r="M57" s="123">
        <v>97.208333333333329</v>
      </c>
      <c r="N57" s="139">
        <v>93.445033671470114</v>
      </c>
      <c r="O57" s="124">
        <v>94.4</v>
      </c>
      <c r="Q57" s="115">
        <f t="shared" si="8"/>
        <v>93.249523905340681</v>
      </c>
      <c r="R57" s="87" t="str">
        <f t="shared" si="0"/>
        <v>.</v>
      </c>
      <c r="S57" s="87">
        <f t="shared" si="1"/>
        <v>93.249523905340681</v>
      </c>
      <c r="U57" s="171"/>
    </row>
    <row r="58" spans="2:21" ht="20.25" hidden="1" customHeight="1">
      <c r="B58" s="125"/>
      <c r="C58" s="117" t="s">
        <v>103</v>
      </c>
      <c r="D58" s="118" t="s">
        <v>274</v>
      </c>
      <c r="E58" s="118">
        <f t="shared" si="6"/>
        <v>160</v>
      </c>
      <c r="F58" s="118">
        <f t="shared" si="7"/>
        <v>101</v>
      </c>
      <c r="G58" s="138">
        <f t="shared" si="9"/>
        <v>14</v>
      </c>
      <c r="H58" s="119">
        <f t="array" ref="H58">SUMPRODUCT($J$3:$O$3,J58:O58)/SUM(($J$3:$O$3)*(J58:O58&lt;&gt;"."))</f>
        <v>94.52461838969819</v>
      </c>
      <c r="I58" s="120">
        <f t="array" ref="I58">SUMPRODUCT($J$3:$N$3,J58:N58)/SUM(($J$3:$N$3)*(J58:N58&lt;&gt;"."))</f>
        <v>94.63117725231389</v>
      </c>
      <c r="J58" s="121">
        <v>92.995285790627392</v>
      </c>
      <c r="K58" s="122">
        <v>93.869016417884296</v>
      </c>
      <c r="L58" s="122">
        <v>93.041145833333317</v>
      </c>
      <c r="M58" s="123">
        <v>89.603571428571428</v>
      </c>
      <c r="N58" s="139">
        <v>96.267068714000374</v>
      </c>
      <c r="O58" s="124">
        <v>92.5</v>
      </c>
      <c r="Q58" s="115">
        <f t="shared" si="8"/>
        <v>94.52461838969819</v>
      </c>
      <c r="R58" s="87" t="str">
        <f t="shared" si="0"/>
        <v>.</v>
      </c>
      <c r="S58" s="87">
        <f t="shared" si="1"/>
        <v>94.52461838969819</v>
      </c>
      <c r="U58" s="171"/>
    </row>
    <row r="59" spans="2:21" ht="20.25" hidden="1" customHeight="1">
      <c r="B59" s="125"/>
      <c r="C59" s="117" t="s">
        <v>102</v>
      </c>
      <c r="D59" s="118" t="s">
        <v>274</v>
      </c>
      <c r="E59" s="118">
        <f t="shared" si="6"/>
        <v>182</v>
      </c>
      <c r="F59" s="118">
        <f t="shared" si="7"/>
        <v>105</v>
      </c>
      <c r="G59" s="138">
        <f t="shared" si="9"/>
        <v>22</v>
      </c>
      <c r="H59" s="119">
        <f t="array" ref="H59">SUMPRODUCT($J$3:$O$3,J59:O59)/SUM(($J$3:$O$3)*(J59:O59&lt;&gt;"."))</f>
        <v>94.117328268382778</v>
      </c>
      <c r="I59" s="120">
        <f t="array" ref="I59">SUMPRODUCT($J$3:$N$3,J59:N59)/SUM(($J$3:$N$3)*(J59:N59&lt;&gt;"."))</f>
        <v>94.097187650929229</v>
      </c>
      <c r="J59" s="121">
        <v>94.584821428571416</v>
      </c>
      <c r="K59" s="122">
        <v>93.896283783783772</v>
      </c>
      <c r="L59" s="122">
        <v>94.915760869565219</v>
      </c>
      <c r="M59" s="123">
        <v>96.371250000000003</v>
      </c>
      <c r="N59" s="139">
        <v>93.609553873287041</v>
      </c>
      <c r="O59" s="124">
        <v>94.5</v>
      </c>
      <c r="Q59" s="115">
        <f t="shared" si="8"/>
        <v>94.117328268382778</v>
      </c>
      <c r="R59" s="87" t="str">
        <f t="shared" si="0"/>
        <v>.</v>
      </c>
      <c r="S59" s="87">
        <f t="shared" si="1"/>
        <v>94.117328268382778</v>
      </c>
      <c r="U59" s="171"/>
    </row>
    <row r="60" spans="2:21" ht="20.25" hidden="1" customHeight="1">
      <c r="B60" s="125"/>
      <c r="C60" s="138" t="s">
        <v>106</v>
      </c>
      <c r="D60" s="118" t="s">
        <v>274</v>
      </c>
      <c r="E60" s="118">
        <f t="shared" si="6"/>
        <v>171</v>
      </c>
      <c r="F60" s="118">
        <f t="shared" si="7"/>
        <v>103</v>
      </c>
      <c r="G60" s="138">
        <f t="shared" si="9"/>
        <v>17</v>
      </c>
      <c r="H60" s="119">
        <f t="array" ref="H60">SUMPRODUCT($J$3:$O$3,J60:O60)/SUM(($J$3:$O$3)*(J60:O60&lt;&gt;"."))</f>
        <v>94.358040825008999</v>
      </c>
      <c r="I60" s="120">
        <f t="array" ref="I60">SUMPRODUCT($J$3:$N$3,J60:N60)/SUM(($J$3:$N$3)*(J60:N60&lt;&gt;"."))</f>
        <v>94.49793771053578</v>
      </c>
      <c r="J60" s="121">
        <v>92.929166666666674</v>
      </c>
      <c r="K60" s="122">
        <v>91.361904761904754</v>
      </c>
      <c r="L60" s="122">
        <v>93.473076923076917</v>
      </c>
      <c r="M60" s="123">
        <v>96.159374999999997</v>
      </c>
      <c r="N60" s="139">
        <v>96.066708754404885</v>
      </c>
      <c r="O60" s="124">
        <v>91.7</v>
      </c>
      <c r="Q60" s="115">
        <f t="shared" si="8"/>
        <v>94.358040825008999</v>
      </c>
      <c r="R60" s="87" t="str">
        <f t="shared" si="0"/>
        <v>.</v>
      </c>
      <c r="S60" s="87">
        <f t="shared" si="1"/>
        <v>94.358040825008999</v>
      </c>
      <c r="U60" s="171"/>
    </row>
    <row r="61" spans="2:21" ht="20.25" hidden="1" customHeight="1">
      <c r="B61" s="125"/>
      <c r="C61" s="117" t="s">
        <v>107</v>
      </c>
      <c r="D61" s="118" t="s">
        <v>274</v>
      </c>
      <c r="E61" s="118">
        <f t="shared" si="6"/>
        <v>113</v>
      </c>
      <c r="F61" s="118">
        <f t="shared" si="7"/>
        <v>88</v>
      </c>
      <c r="G61" s="138">
        <f t="shared" si="9"/>
        <v>3</v>
      </c>
      <c r="H61" s="119">
        <f t="array" ref="H61">SUMPRODUCT($J$3:$O$3,J61:O61)/SUM(($J$3:$O$3)*(J61:O61&lt;&gt;"."))</f>
        <v>95.350063769290372</v>
      </c>
      <c r="I61" s="120">
        <f t="array" ref="I61">SUMPRODUCT($J$3:$N$3,J61:N61)/SUM(($J$3:$N$3)*(J61:N61&lt;&gt;"."))</f>
        <v>95.34743554662144</v>
      </c>
      <c r="J61" s="121">
        <v>96.814988938053077</v>
      </c>
      <c r="K61" s="122">
        <v>96.427651515151538</v>
      </c>
      <c r="L61" s="122">
        <v>97.918604183427206</v>
      </c>
      <c r="M61" s="123">
        <v>95.537499999999994</v>
      </c>
      <c r="N61" s="139">
        <v>93.879882155189819</v>
      </c>
      <c r="O61" s="124">
        <v>95.4</v>
      </c>
      <c r="Q61" s="115">
        <f t="shared" si="8"/>
        <v>95.350063769290372</v>
      </c>
      <c r="R61" s="87" t="str">
        <f t="shared" si="0"/>
        <v>.</v>
      </c>
      <c r="S61" s="87">
        <f t="shared" si="1"/>
        <v>95.350063769290372</v>
      </c>
      <c r="U61" s="171"/>
    </row>
    <row r="62" spans="2:21" ht="20.25" hidden="1" customHeight="1">
      <c r="B62" s="125"/>
      <c r="C62" s="138" t="s">
        <v>108</v>
      </c>
      <c r="D62" s="118" t="s">
        <v>274</v>
      </c>
      <c r="E62" s="118">
        <f t="shared" si="6"/>
        <v>210</v>
      </c>
      <c r="F62" s="118">
        <f t="shared" si="7"/>
        <v>108</v>
      </c>
      <c r="G62" s="138">
        <f t="shared" si="9"/>
        <v>34</v>
      </c>
      <c r="H62" s="119">
        <f t="array" ref="H62">SUMPRODUCT($J$3:$O$3,J62:O62)/SUM(($J$3:$O$3)*(J62:O62&lt;&gt;"."))</f>
        <v>93.303737699888117</v>
      </c>
      <c r="I62" s="120">
        <f t="array" ref="I62">SUMPRODUCT($J$3:$N$3,J62:N62)/SUM(($J$3:$N$3)*(J62:N62&lt;&gt;"."))</f>
        <v>93.177618631461172</v>
      </c>
      <c r="J62" s="121">
        <v>91.591202173263341</v>
      </c>
      <c r="K62" s="122">
        <v>92.169067796610179</v>
      </c>
      <c r="L62" s="122">
        <v>90.280835176991147</v>
      </c>
      <c r="M62" s="123">
        <v>92.052241708748483</v>
      </c>
      <c r="N62" s="139">
        <v>94.764035089658975</v>
      </c>
      <c r="O62" s="124">
        <v>95.7</v>
      </c>
      <c r="Q62" s="115">
        <f t="shared" si="8"/>
        <v>93.303737699888117</v>
      </c>
      <c r="R62" s="87" t="str">
        <f t="shared" si="0"/>
        <v>.</v>
      </c>
      <c r="S62" s="87">
        <f t="shared" si="1"/>
        <v>93.303737699888117</v>
      </c>
      <c r="U62" s="171"/>
    </row>
    <row r="63" spans="2:21" ht="20.25" hidden="1" customHeight="1">
      <c r="B63" s="125"/>
      <c r="C63" s="138" t="s">
        <v>109</v>
      </c>
      <c r="D63" s="118" t="s">
        <v>271</v>
      </c>
      <c r="E63" s="118">
        <f t="shared" si="6"/>
        <v>124</v>
      </c>
      <c r="F63" s="118">
        <f t="shared" si="7"/>
        <v>31</v>
      </c>
      <c r="G63" s="138">
        <f t="shared" si="9"/>
        <v>5</v>
      </c>
      <c r="H63" s="119">
        <f t="array" ref="H63">SUMPRODUCT($J$3:$O$3,J63:O63)/SUM(($J$3:$O$3)*(J63:O63&lt;&gt;"."))</f>
        <v>95.134593285820216</v>
      </c>
      <c r="I63" s="120">
        <f t="array" ref="I63">SUMPRODUCT($J$3:$N$3,J63:N63)/SUM(($J$3:$N$3)*(J63:N63&lt;&gt;"."))</f>
        <v>95.289045564021279</v>
      </c>
      <c r="J63" s="121">
        <v>94.578312087494893</v>
      </c>
      <c r="K63" s="122">
        <v>92.9285294117647</v>
      </c>
      <c r="L63" s="122">
        <v>95.609640895082407</v>
      </c>
      <c r="M63" s="123">
        <v>98.960000000000008</v>
      </c>
      <c r="N63" s="139">
        <v>95.999779040547665</v>
      </c>
      <c r="O63" s="124">
        <v>92.2</v>
      </c>
      <c r="Q63" s="115">
        <f t="shared" si="8"/>
        <v>95.134593285820216</v>
      </c>
      <c r="R63" s="87">
        <f t="shared" si="0"/>
        <v>95.134593285820216</v>
      </c>
      <c r="S63" s="87" t="str">
        <f t="shared" si="1"/>
        <v>.</v>
      </c>
      <c r="U63" s="171"/>
    </row>
    <row r="64" spans="2:21" ht="20.25" hidden="1" customHeight="1">
      <c r="B64" s="125"/>
      <c r="C64" s="138" t="s">
        <v>110</v>
      </c>
      <c r="D64" s="138" t="s">
        <v>274</v>
      </c>
      <c r="E64" s="118">
        <f t="shared" si="6"/>
        <v>114</v>
      </c>
      <c r="F64" s="118">
        <f t="shared" si="7"/>
        <v>89</v>
      </c>
      <c r="G64" s="138">
        <f t="shared" si="9"/>
        <v>4</v>
      </c>
      <c r="H64" s="119">
        <f t="array" ref="H64">SUMPRODUCT($J$3:$O$3,J64:O64)/SUM(($J$3:$O$3)*(J64:O64&lt;&gt;"."))</f>
        <v>95.347673779133189</v>
      </c>
      <c r="I64" s="120">
        <f t="array" ref="I64">SUMPRODUCT($J$3:$N$3,J64:N64)/SUM(($J$3:$N$3)*(J64:N64&lt;&gt;"."))</f>
        <v>95.365972399087568</v>
      </c>
      <c r="J64" s="121">
        <v>93.649789915966366</v>
      </c>
      <c r="K64" s="122">
        <v>94.357575757575745</v>
      </c>
      <c r="L64" s="122">
        <v>91.784285714285716</v>
      </c>
      <c r="M64" s="123">
        <v>94.681944444444454</v>
      </c>
      <c r="N64" s="139">
        <v>97.082154882208741</v>
      </c>
      <c r="O64" s="124">
        <v>95</v>
      </c>
      <c r="Q64" s="115">
        <f t="shared" si="8"/>
        <v>95.347673779133189</v>
      </c>
      <c r="R64" s="87" t="str">
        <f t="shared" si="0"/>
        <v>.</v>
      </c>
      <c r="S64" s="87">
        <f t="shared" si="1"/>
        <v>95.347673779133189</v>
      </c>
      <c r="U64" s="171"/>
    </row>
    <row r="65" spans="2:21" ht="20.25" hidden="1" customHeight="1">
      <c r="B65" s="125"/>
      <c r="C65" s="138" t="s">
        <v>111</v>
      </c>
      <c r="D65" s="118" t="s">
        <v>271</v>
      </c>
      <c r="E65" s="118">
        <f t="shared" si="6"/>
        <v>196</v>
      </c>
      <c r="F65" s="118">
        <f t="shared" si="7"/>
        <v>89</v>
      </c>
      <c r="G65" s="138">
        <f t="shared" si="9"/>
        <v>27</v>
      </c>
      <c r="H65" s="119">
        <f t="array" ref="H65">SUMPRODUCT($J$3:$O$3,J65:O65)/SUM(($J$3:$O$3)*(J65:O65&lt;&gt;"."))</f>
        <v>93.661148739968937</v>
      </c>
      <c r="I65" s="120">
        <f t="array" ref="I65">SUMPRODUCT($J$3:$N$3,J65:N65)/SUM(($J$3:$N$3)*(J65:N65&lt;&gt;"."))</f>
        <v>93.401209199967312</v>
      </c>
      <c r="J65" s="121">
        <v>93.212424712953904</v>
      </c>
      <c r="K65" s="122">
        <v>92.637915453269954</v>
      </c>
      <c r="L65" s="122">
        <v>95.624590163934414</v>
      </c>
      <c r="M65" s="123">
        <v>89.038043478260875</v>
      </c>
      <c r="N65" s="139">
        <v>93.589993686980719</v>
      </c>
      <c r="O65" s="124">
        <v>98.6</v>
      </c>
      <c r="Q65" s="115">
        <f t="shared" si="8"/>
        <v>93.661148739968937</v>
      </c>
      <c r="R65" s="87">
        <f t="shared" si="0"/>
        <v>93.661148739968937</v>
      </c>
      <c r="S65" s="87" t="str">
        <f t="shared" si="1"/>
        <v>.</v>
      </c>
      <c r="U65" s="171"/>
    </row>
    <row r="66" spans="2:21" ht="20.25" hidden="1" customHeight="1">
      <c r="B66" s="125"/>
      <c r="C66" s="138" t="s">
        <v>112</v>
      </c>
      <c r="D66" s="118" t="s">
        <v>274</v>
      </c>
      <c r="E66" s="118">
        <f t="shared" si="6"/>
        <v>190</v>
      </c>
      <c r="F66" s="118">
        <f t="shared" si="7"/>
        <v>106</v>
      </c>
      <c r="G66" s="138">
        <f t="shared" si="9"/>
        <v>25</v>
      </c>
      <c r="H66" s="119">
        <f t="array" ref="H66">SUMPRODUCT($J$3:$O$3,J66:O66)/SUM(($J$3:$O$3)*(J66:O66&lt;&gt;"."))</f>
        <v>93.886042120802884</v>
      </c>
      <c r="I66" s="120">
        <f t="array" ref="I66">SUMPRODUCT($J$3:$N$3,J66:N66)/SUM(($J$3:$N$3)*(J66:N66&lt;&gt;"."))</f>
        <v>93.869518021897775</v>
      </c>
      <c r="J66" s="121">
        <v>92.149221228530777</v>
      </c>
      <c r="K66" s="122">
        <v>91.689814524145888</v>
      </c>
      <c r="L66" s="122">
        <v>92.23846153846155</v>
      </c>
      <c r="M66" s="123">
        <v>93.325000000000003</v>
      </c>
      <c r="N66" s="139">
        <v>95.589814815264745</v>
      </c>
      <c r="O66" s="124">
        <v>94.2</v>
      </c>
      <c r="Q66" s="115">
        <f t="shared" si="8"/>
        <v>93.886042120802884</v>
      </c>
      <c r="R66" s="87" t="str">
        <f t="shared" si="0"/>
        <v>.</v>
      </c>
      <c r="S66" s="87">
        <f t="shared" si="1"/>
        <v>93.886042120802884</v>
      </c>
      <c r="U66" s="171"/>
    </row>
    <row r="67" spans="2:21" ht="20.25" hidden="1" customHeight="1">
      <c r="B67" s="125"/>
      <c r="C67" s="117" t="s">
        <v>113</v>
      </c>
      <c r="D67" s="118" t="s">
        <v>274</v>
      </c>
      <c r="E67" s="118">
        <f t="shared" si="6"/>
        <v>81</v>
      </c>
      <c r="F67" s="118">
        <f t="shared" si="7"/>
        <v>70</v>
      </c>
      <c r="G67" s="138">
        <f t="shared" si="9"/>
        <v>2</v>
      </c>
      <c r="H67" s="119">
        <f t="array" ref="H67">SUMPRODUCT($J$3:$O$3,J67:O67)/SUM(($J$3:$O$3)*(J67:O67&lt;&gt;"."))</f>
        <v>96.019061961790726</v>
      </c>
      <c r="I67" s="120">
        <f t="array" ref="I67">SUMPRODUCT($J$3:$N$3,J67:N67)/SUM(($J$3:$N$3)*(J67:N67&lt;&gt;"."))</f>
        <v>96.025328380832335</v>
      </c>
      <c r="J67" s="121">
        <v>95.829360465116267</v>
      </c>
      <c r="K67" s="122">
        <v>94.420652173913055</v>
      </c>
      <c r="L67" s="122">
        <v>97.074137931034485</v>
      </c>
      <c r="M67" s="123">
        <v>98.438636363636348</v>
      </c>
      <c r="N67" s="139">
        <v>96.221296296548402</v>
      </c>
      <c r="O67" s="124">
        <v>95.9</v>
      </c>
      <c r="Q67" s="115">
        <f t="shared" si="8"/>
        <v>96.019061961790726</v>
      </c>
      <c r="R67" s="87" t="str">
        <f t="shared" si="0"/>
        <v>.</v>
      </c>
      <c r="S67" s="87">
        <f t="shared" si="1"/>
        <v>96.019061961790726</v>
      </c>
      <c r="U67" s="171"/>
    </row>
    <row r="68" spans="2:21" ht="20.25" hidden="1" customHeight="1">
      <c r="B68" s="125"/>
      <c r="C68" s="138" t="s">
        <v>101</v>
      </c>
      <c r="D68" s="118" t="s">
        <v>274</v>
      </c>
      <c r="E68" s="118">
        <f t="shared" si="6"/>
        <v>1</v>
      </c>
      <c r="F68" s="118">
        <f t="shared" si="7"/>
        <v>1</v>
      </c>
      <c r="G68" s="138">
        <f t="shared" si="9"/>
        <v>1</v>
      </c>
      <c r="H68" s="119">
        <f t="array" ref="H68">SUMPRODUCT($J$3:$O$3,J68:O68)/SUM(($J$3:$O$3)*(J68:O68&lt;&gt;"."))</f>
        <v>98.262288633738748</v>
      </c>
      <c r="I68" s="120">
        <f t="array" ref="I68">SUMPRODUCT($J$3:$N$3,J68:N68)/SUM(($J$3:$N$3)*(J68:N68&lt;&gt;"."))</f>
        <v>98.28135645656711</v>
      </c>
      <c r="J68" s="121">
        <v>97.748529411764693</v>
      </c>
      <c r="K68" s="122">
        <v>96.978333333333339</v>
      </c>
      <c r="L68" s="122">
        <v>98.891176470588221</v>
      </c>
      <c r="M68" s="123">
        <v>98.668750000000003</v>
      </c>
      <c r="N68" s="139">
        <v>98.814183501369527</v>
      </c>
      <c r="O68" s="124">
        <v>97.9</v>
      </c>
      <c r="Q68" s="115">
        <f t="shared" si="8"/>
        <v>98.262288633738748</v>
      </c>
      <c r="R68" s="87" t="str">
        <f t="shared" si="0"/>
        <v>.</v>
      </c>
      <c r="S68" s="87">
        <f t="shared" si="1"/>
        <v>98.262288633738748</v>
      </c>
      <c r="U68" s="171"/>
    </row>
    <row r="69" spans="2:21" ht="20.25" hidden="1" customHeight="1">
      <c r="B69" s="125"/>
      <c r="C69" s="138" t="s">
        <v>114</v>
      </c>
      <c r="D69" s="118" t="s">
        <v>274</v>
      </c>
      <c r="E69" s="118">
        <f t="shared" si="6"/>
        <v>156</v>
      </c>
      <c r="F69" s="118">
        <f t="shared" si="7"/>
        <v>100</v>
      </c>
      <c r="G69" s="138">
        <f t="shared" si="9"/>
        <v>11</v>
      </c>
      <c r="H69" s="119">
        <f t="array" ref="H69">SUMPRODUCT($J$3:$O$3,J69:O69)/SUM(($J$3:$O$3)*(J69:O69&lt;&gt;"."))</f>
        <v>94.584325810666584</v>
      </c>
      <c r="I69" s="120">
        <f t="array" ref="I69">SUMPRODUCT($J$3:$N$3,J69:N69)/SUM(($J$3:$N$3)*(J69:N69&lt;&gt;"."))</f>
        <v>94.472974537543763</v>
      </c>
      <c r="J69" s="121">
        <v>94.403819444444466</v>
      </c>
      <c r="K69" s="122">
        <v>93.699404761904759</v>
      </c>
      <c r="L69" s="122">
        <v>94.998529411764693</v>
      </c>
      <c r="M69" s="123">
        <v>95.901923076923083</v>
      </c>
      <c r="N69" s="139">
        <v>94.542129630643061</v>
      </c>
      <c r="O69" s="124">
        <v>96.7</v>
      </c>
      <c r="Q69" s="115">
        <f t="shared" si="8"/>
        <v>94.584325810666584</v>
      </c>
      <c r="R69" s="87" t="str">
        <f t="shared" si="0"/>
        <v>.</v>
      </c>
      <c r="S69" s="87">
        <f t="shared" si="1"/>
        <v>94.584325810666584</v>
      </c>
      <c r="U69" s="171"/>
    </row>
    <row r="70" spans="2:21" ht="20.25" hidden="1" customHeight="1" thickBot="1">
      <c r="B70" s="126"/>
      <c r="C70" s="140" t="s">
        <v>115</v>
      </c>
      <c r="D70" s="128" t="s">
        <v>274</v>
      </c>
      <c r="E70" s="128">
        <f t="shared" si="6"/>
        <v>218</v>
      </c>
      <c r="F70" s="128">
        <f t="shared" si="7"/>
        <v>111</v>
      </c>
      <c r="G70" s="140">
        <f t="shared" si="9"/>
        <v>37</v>
      </c>
      <c r="H70" s="129">
        <f t="array" ref="H70">SUMPRODUCT($J$3:$O$3,J70:O70)/SUM(($J$3:$O$3)*(J70:O70&lt;&gt;"."))</f>
        <v>92.867881954231692</v>
      </c>
      <c r="I70" s="130">
        <f t="array" ref="I70">SUMPRODUCT($J$3:$N$3,J70:N70)/SUM(($J$3:$N$3)*(J70:N70&lt;&gt;"."))</f>
        <v>92.776717846559677</v>
      </c>
      <c r="J70" s="131">
        <v>92.486979463268767</v>
      </c>
      <c r="K70" s="132">
        <v>92.922058823529412</v>
      </c>
      <c r="L70" s="132">
        <v>91.306863861717801</v>
      </c>
      <c r="M70" s="133">
        <v>92.892307692307682</v>
      </c>
      <c r="N70" s="141">
        <v>93.066456229850573</v>
      </c>
      <c r="O70" s="134">
        <v>94.6</v>
      </c>
      <c r="Q70" s="115">
        <f t="shared" si="8"/>
        <v>92.867881954231692</v>
      </c>
      <c r="R70" s="87" t="str">
        <f t="shared" si="0"/>
        <v>.</v>
      </c>
      <c r="S70" s="87">
        <f t="shared" si="1"/>
        <v>92.867881954231692</v>
      </c>
      <c r="U70" s="171"/>
    </row>
    <row r="71" spans="2:21" ht="20.25" hidden="1" customHeight="1">
      <c r="B71" s="135" t="s">
        <v>269</v>
      </c>
      <c r="C71" s="136"/>
      <c r="D71" s="108" t="s">
        <v>32</v>
      </c>
      <c r="E71" s="108" t="s">
        <v>32</v>
      </c>
      <c r="F71" s="108" t="s">
        <v>32</v>
      </c>
      <c r="G71" s="108" t="s">
        <v>32</v>
      </c>
      <c r="H71" s="109">
        <f t="array" ref="H71">SUMPRODUCT($J$3:$O$3,J71:O71)/SUM(($J$3:$O$3)*(J71:O71&lt;&gt;"."))</f>
        <v>95.335847952102085</v>
      </c>
      <c r="I71" s="110">
        <f t="array" ref="I71">SUMPRODUCT($J$3:$N$3,J71:N71)/SUM(($J$3:$N$3)*(J71:N71&lt;&gt;"."))</f>
        <v>95.227346874788893</v>
      </c>
      <c r="J71" s="137">
        <v>94.842173538429662</v>
      </c>
      <c r="K71" s="137">
        <v>95.24329860198857</v>
      </c>
      <c r="L71" s="137">
        <v>94.207971050543691</v>
      </c>
      <c r="M71" s="137">
        <v>94.613868005544319</v>
      </c>
      <c r="N71" s="137">
        <v>95.612520211148151</v>
      </c>
      <c r="O71" s="114">
        <v>97.397368421052633</v>
      </c>
      <c r="Q71" s="115" t="s">
        <v>270</v>
      </c>
      <c r="R71" s="87" t="str">
        <f t="shared" ref="R71:R134" si="10">IF($D71=R$5,H71,".")</f>
        <v>.</v>
      </c>
      <c r="S71" s="87" t="str">
        <f t="shared" ref="S71:S134" si="11">IF($D71=S$5,H71,".")</f>
        <v>.</v>
      </c>
      <c r="U71" s="171"/>
    </row>
    <row r="72" spans="2:21" ht="20.25" hidden="1" customHeight="1">
      <c r="B72" s="116" t="s">
        <v>116</v>
      </c>
      <c r="C72" s="138" t="s">
        <v>117</v>
      </c>
      <c r="D72" s="138" t="s">
        <v>271</v>
      </c>
      <c r="E72" s="118">
        <f t="shared" ref="E72:E109" si="12">RANK(H72,$Q$8:$Q$238)</f>
        <v>106</v>
      </c>
      <c r="F72" s="118">
        <f t="shared" ref="F72:F109" si="13">IF(D72="4급",RANK(H72,$R$8:$R$238),IF(D72="5급",RANK(H72,$S$8:$S$238),"-"))</f>
        <v>22</v>
      </c>
      <c r="G72" s="138">
        <f>RANK(H72,$H$72:$H$109)</f>
        <v>18</v>
      </c>
      <c r="H72" s="119">
        <f t="array" ref="H72">SUMPRODUCT($J$3:$O$3,J72:O72)/SUM(($J$3:$O$3)*(J72:O72&lt;&gt;"."))</f>
        <v>95.531178950808751</v>
      </c>
      <c r="I72" s="120">
        <f t="array" ref="I72">SUMPRODUCT($J$3:$N$3,J72:N72)/SUM(($J$3:$N$3)*(J72:N72&lt;&gt;"."))</f>
        <v>95.40650415874606</v>
      </c>
      <c r="J72" s="139">
        <v>94.159125740803674</v>
      </c>
      <c r="K72" s="139">
        <v>95.334208088816354</v>
      </c>
      <c r="L72" s="139">
        <v>91.383139534883725</v>
      </c>
      <c r="M72" s="139">
        <v>95.50277777777778</v>
      </c>
      <c r="N72" s="139">
        <v>96.653882576688417</v>
      </c>
      <c r="O72" s="124">
        <v>97.9</v>
      </c>
      <c r="Q72" s="115">
        <f t="shared" ref="Q72:Q109" si="14">H72</f>
        <v>95.531178950808751</v>
      </c>
      <c r="R72" s="87">
        <f t="shared" si="10"/>
        <v>95.531178950808751</v>
      </c>
      <c r="S72" s="87" t="str">
        <f t="shared" si="11"/>
        <v>.</v>
      </c>
      <c r="U72" s="171"/>
    </row>
    <row r="73" spans="2:21" ht="20.25" hidden="1" customHeight="1">
      <c r="B73" s="125"/>
      <c r="C73" s="138" t="s">
        <v>118</v>
      </c>
      <c r="D73" s="138" t="s">
        <v>271</v>
      </c>
      <c r="E73" s="118">
        <f t="shared" si="12"/>
        <v>202</v>
      </c>
      <c r="F73" s="118">
        <f t="shared" si="13"/>
        <v>95</v>
      </c>
      <c r="G73" s="138">
        <f t="shared" ref="G73:G109" si="15">RANK(H73,$H$72:$H$109)</f>
        <v>37</v>
      </c>
      <c r="H73" s="119">
        <f t="array" ref="H73">SUMPRODUCT($J$3:$O$3,J73:O73)/SUM(($J$3:$O$3)*(J73:O73&lt;&gt;"."))</f>
        <v>93.579194261170585</v>
      </c>
      <c r="I73" s="120">
        <f t="array" ref="I73">SUMPRODUCT($J$3:$N$3,J73:N73)/SUM(($J$3:$N$3)*(J73:N73&lt;&gt;"."))</f>
        <v>93.378099222284817</v>
      </c>
      <c r="J73" s="139">
        <v>93.276968645802242</v>
      </c>
      <c r="K73" s="139">
        <v>93.70547089616467</v>
      </c>
      <c r="L73" s="139">
        <v>92.360637813211838</v>
      </c>
      <c r="M73" s="139">
        <v>93.189705882352953</v>
      </c>
      <c r="N73" s="139">
        <v>93.479229798767378</v>
      </c>
      <c r="O73" s="124">
        <v>97.4</v>
      </c>
      <c r="Q73" s="115">
        <f t="shared" si="14"/>
        <v>93.579194261170585</v>
      </c>
      <c r="R73" s="87">
        <f t="shared" si="10"/>
        <v>93.579194261170585</v>
      </c>
      <c r="S73" s="87" t="str">
        <f t="shared" si="11"/>
        <v>.</v>
      </c>
      <c r="U73" s="171"/>
    </row>
    <row r="74" spans="2:21" ht="20.25" hidden="1" customHeight="1">
      <c r="B74" s="125"/>
      <c r="C74" s="138" t="s">
        <v>119</v>
      </c>
      <c r="D74" s="138" t="s">
        <v>271</v>
      </c>
      <c r="E74" s="118">
        <f t="shared" si="12"/>
        <v>122</v>
      </c>
      <c r="F74" s="118">
        <f t="shared" si="13"/>
        <v>29</v>
      </c>
      <c r="G74" s="138">
        <f t="shared" si="15"/>
        <v>22</v>
      </c>
      <c r="H74" s="119">
        <f t="array" ref="H74">SUMPRODUCT($J$3:$O$3,J74:O74)/SUM(($J$3:$O$3)*(J74:O74&lt;&gt;"."))</f>
        <v>95.174056818015828</v>
      </c>
      <c r="I74" s="120">
        <f t="array" ref="I74">SUMPRODUCT($J$3:$N$3,J74:N74)/SUM(($J$3:$N$3)*(J74:N74&lt;&gt;"."))</f>
        <v>95.051638755806138</v>
      </c>
      <c r="J74" s="139">
        <v>94.112368421052665</v>
      </c>
      <c r="K74" s="139">
        <v>93.987820512820505</v>
      </c>
      <c r="L74" s="139">
        <v>94.128846153846155</v>
      </c>
      <c r="M74" s="139">
        <v>94.765476190476193</v>
      </c>
      <c r="N74" s="139">
        <v>95.990909090559626</v>
      </c>
      <c r="O74" s="124">
        <v>97.5</v>
      </c>
      <c r="Q74" s="115">
        <f t="shared" si="14"/>
        <v>95.174056818015828</v>
      </c>
      <c r="R74" s="87">
        <f t="shared" si="10"/>
        <v>95.174056818015828</v>
      </c>
      <c r="S74" s="87" t="str">
        <f t="shared" si="11"/>
        <v>.</v>
      </c>
      <c r="U74" s="171"/>
    </row>
    <row r="75" spans="2:21" ht="20.25" hidden="1" customHeight="1">
      <c r="B75" s="125"/>
      <c r="C75" s="138" t="s">
        <v>120</v>
      </c>
      <c r="D75" s="138" t="s">
        <v>271</v>
      </c>
      <c r="E75" s="118">
        <f t="shared" si="12"/>
        <v>143</v>
      </c>
      <c r="F75" s="118">
        <f t="shared" si="13"/>
        <v>48</v>
      </c>
      <c r="G75" s="138">
        <f t="shared" si="15"/>
        <v>27</v>
      </c>
      <c r="H75" s="119">
        <f t="array" ref="H75">SUMPRODUCT($J$3:$O$3,J75:O75)/SUM(($J$3:$O$3)*(J75:O75&lt;&gt;"."))</f>
        <v>94.841426378169459</v>
      </c>
      <c r="I75" s="120">
        <f t="array" ref="I75">SUMPRODUCT($J$3:$N$3,J75:N75)/SUM(($J$3:$N$3)*(J75:N75&lt;&gt;"."))</f>
        <v>94.706764608599428</v>
      </c>
      <c r="J75" s="139">
        <v>94.445820882657173</v>
      </c>
      <c r="K75" s="139">
        <v>94.849484536082457</v>
      </c>
      <c r="L75" s="139">
        <v>93.183910398230083</v>
      </c>
      <c r="M75" s="139">
        <v>95.111764705882365</v>
      </c>
      <c r="N75" s="139">
        <v>94.967708334541655</v>
      </c>
      <c r="O75" s="124">
        <v>97.4</v>
      </c>
      <c r="Q75" s="115">
        <f t="shared" si="14"/>
        <v>94.841426378169459</v>
      </c>
      <c r="R75" s="87">
        <f t="shared" si="10"/>
        <v>94.841426378169459</v>
      </c>
      <c r="S75" s="87" t="str">
        <f t="shared" si="11"/>
        <v>.</v>
      </c>
      <c r="U75" s="171"/>
    </row>
    <row r="76" spans="2:21" ht="20.25" hidden="1" customHeight="1">
      <c r="B76" s="125"/>
      <c r="C76" s="138" t="s">
        <v>121</v>
      </c>
      <c r="D76" s="138" t="s">
        <v>271</v>
      </c>
      <c r="E76" s="118">
        <f t="shared" si="12"/>
        <v>89</v>
      </c>
      <c r="F76" s="118">
        <f t="shared" si="13"/>
        <v>14</v>
      </c>
      <c r="G76" s="138">
        <f t="shared" si="15"/>
        <v>12</v>
      </c>
      <c r="H76" s="119">
        <f t="array" ref="H76">SUMPRODUCT($J$3:$O$3,J76:O76)/SUM(($J$3:$O$3)*(J76:O76&lt;&gt;"."))</f>
        <v>95.853575039562386</v>
      </c>
      <c r="I76" s="120">
        <f t="array" ref="I76">SUMPRODUCT($J$3:$N$3,J76:N76)/SUM(($J$3:$N$3)*(J76:N76&lt;&gt;"."))</f>
        <v>95.814289515328824</v>
      </c>
      <c r="J76" s="139">
        <v>96.474948978762129</v>
      </c>
      <c r="K76" s="139">
        <v>96.176820096269552</v>
      </c>
      <c r="L76" s="139">
        <v>96.214743589743577</v>
      </c>
      <c r="M76" s="139">
        <v>98.685294117647047</v>
      </c>
      <c r="N76" s="139">
        <v>95.153630051895519</v>
      </c>
      <c r="O76" s="124">
        <v>96.6</v>
      </c>
      <c r="Q76" s="115">
        <f t="shared" si="14"/>
        <v>95.853575039562386</v>
      </c>
      <c r="R76" s="87">
        <f t="shared" si="10"/>
        <v>95.853575039562386</v>
      </c>
      <c r="S76" s="87" t="str">
        <f t="shared" si="11"/>
        <v>.</v>
      </c>
      <c r="U76" s="171"/>
    </row>
    <row r="77" spans="2:21" ht="20.25" hidden="1" customHeight="1">
      <c r="B77" s="125"/>
      <c r="C77" s="138" t="s">
        <v>122</v>
      </c>
      <c r="D77" s="138" t="s">
        <v>271</v>
      </c>
      <c r="E77" s="118">
        <f t="shared" si="12"/>
        <v>152</v>
      </c>
      <c r="F77" s="118">
        <f t="shared" si="13"/>
        <v>55</v>
      </c>
      <c r="G77" s="138">
        <f t="shared" si="15"/>
        <v>30</v>
      </c>
      <c r="H77" s="119">
        <f t="array" ref="H77">SUMPRODUCT($J$3:$O$3,J77:O77)/SUM(($J$3:$O$3)*(J77:O77&lt;&gt;"."))</f>
        <v>94.624565599159837</v>
      </c>
      <c r="I77" s="120">
        <f t="array" ref="I77">SUMPRODUCT($J$3:$N$3,J77:N77)/SUM(($J$3:$N$3)*(J77:N77&lt;&gt;"."))</f>
        <v>94.467963788589302</v>
      </c>
      <c r="J77" s="139">
        <v>93.560106869155561</v>
      </c>
      <c r="K77" s="139">
        <v>93.857291666666654</v>
      </c>
      <c r="L77" s="139">
        <v>92.723979591836724</v>
      </c>
      <c r="M77" s="139">
        <v>94.182131670533636</v>
      </c>
      <c r="N77" s="139">
        <v>95.375820708023042</v>
      </c>
      <c r="O77" s="124">
        <v>97.6</v>
      </c>
      <c r="Q77" s="115">
        <f t="shared" si="14"/>
        <v>94.624565599159837</v>
      </c>
      <c r="R77" s="87">
        <f t="shared" si="10"/>
        <v>94.624565599159837</v>
      </c>
      <c r="S77" s="87" t="str">
        <f t="shared" si="11"/>
        <v>.</v>
      </c>
      <c r="U77" s="171"/>
    </row>
    <row r="78" spans="2:21" ht="20.25" hidden="1" customHeight="1">
      <c r="B78" s="125"/>
      <c r="C78" s="142" t="s">
        <v>123</v>
      </c>
      <c r="D78" s="138" t="s">
        <v>271</v>
      </c>
      <c r="E78" s="118">
        <f t="shared" si="12"/>
        <v>108</v>
      </c>
      <c r="F78" s="118">
        <f t="shared" si="13"/>
        <v>24</v>
      </c>
      <c r="G78" s="138">
        <f t="shared" si="15"/>
        <v>19</v>
      </c>
      <c r="H78" s="119">
        <f t="array" ref="H78">SUMPRODUCT($J$3:$O$3,J78:O78)/SUM(($J$3:$O$3)*(J78:O78&lt;&gt;"."))</f>
        <v>95.475658853526227</v>
      </c>
      <c r="I78" s="120">
        <f t="array" ref="I78">SUMPRODUCT($J$3:$N$3,J78:N78)/SUM(($J$3:$N$3)*(J78:N78&lt;&gt;"."))</f>
        <v>95.405956687922341</v>
      </c>
      <c r="J78" s="139">
        <v>94.905316153447615</v>
      </c>
      <c r="K78" s="139">
        <v>96.175641025640999</v>
      </c>
      <c r="L78" s="139">
        <v>94.05312499999998</v>
      </c>
      <c r="M78" s="139">
        <v>91.141805104408363</v>
      </c>
      <c r="N78" s="139">
        <v>95.906597222397082</v>
      </c>
      <c r="O78" s="124">
        <v>96.8</v>
      </c>
      <c r="Q78" s="115">
        <f t="shared" si="14"/>
        <v>95.475658853526227</v>
      </c>
      <c r="R78" s="87">
        <f t="shared" si="10"/>
        <v>95.475658853526227</v>
      </c>
      <c r="S78" s="87" t="str">
        <f t="shared" si="11"/>
        <v>.</v>
      </c>
      <c r="U78" s="171"/>
    </row>
    <row r="79" spans="2:21" ht="20.25" hidden="1" customHeight="1">
      <c r="B79" s="125"/>
      <c r="C79" s="138" t="s">
        <v>124</v>
      </c>
      <c r="D79" s="138" t="s">
        <v>271</v>
      </c>
      <c r="E79" s="118">
        <f t="shared" si="12"/>
        <v>183</v>
      </c>
      <c r="F79" s="118">
        <f t="shared" si="13"/>
        <v>78</v>
      </c>
      <c r="G79" s="138">
        <f t="shared" si="15"/>
        <v>33</v>
      </c>
      <c r="H79" s="119">
        <f t="array" ref="H79">SUMPRODUCT($J$3:$O$3,J79:O79)/SUM(($J$3:$O$3)*(J79:O79&lt;&gt;"."))</f>
        <v>94.111363312598257</v>
      </c>
      <c r="I79" s="120">
        <f t="array" ref="I79">SUMPRODUCT($J$3:$N$3,J79:N79)/SUM(($J$3:$N$3)*(J79:N79&lt;&gt;"."))</f>
        <v>93.896171907998166</v>
      </c>
      <c r="J79" s="139">
        <v>93.248972602739698</v>
      </c>
      <c r="K79" s="139">
        <v>93.809117647058827</v>
      </c>
      <c r="L79" s="139">
        <v>92.044186046511641</v>
      </c>
      <c r="M79" s="139">
        <v>93.481944444444451</v>
      </c>
      <c r="N79" s="139">
        <v>94.543371213256648</v>
      </c>
      <c r="O79" s="124">
        <v>98.2</v>
      </c>
      <c r="Q79" s="115">
        <f t="shared" si="14"/>
        <v>94.111363312598257</v>
      </c>
      <c r="R79" s="87">
        <f t="shared" si="10"/>
        <v>94.111363312598257</v>
      </c>
      <c r="S79" s="87" t="str">
        <f t="shared" si="11"/>
        <v>.</v>
      </c>
      <c r="U79" s="171"/>
    </row>
    <row r="80" spans="2:21" ht="20.25" hidden="1" customHeight="1">
      <c r="B80" s="125"/>
      <c r="C80" s="138" t="s">
        <v>125</v>
      </c>
      <c r="D80" s="138" t="s">
        <v>271</v>
      </c>
      <c r="E80" s="118">
        <f t="shared" si="12"/>
        <v>134</v>
      </c>
      <c r="F80" s="118">
        <f t="shared" si="13"/>
        <v>40</v>
      </c>
      <c r="G80" s="138">
        <f t="shared" si="15"/>
        <v>25</v>
      </c>
      <c r="H80" s="119">
        <f t="array" ref="H80">SUMPRODUCT($J$3:$O$3,J80:O80)/SUM(($J$3:$O$3)*(J80:O80&lt;&gt;"."))</f>
        <v>95.021242044664973</v>
      </c>
      <c r="I80" s="120">
        <f t="array" ref="I80">SUMPRODUCT($J$3:$N$3,J80:N80)/SUM(($J$3:$N$3)*(J80:N80&lt;&gt;"."))</f>
        <v>94.83288636280524</v>
      </c>
      <c r="J80" s="139">
        <v>94.303840906437173</v>
      </c>
      <c r="K80" s="139">
        <v>95.2926733437872</v>
      </c>
      <c r="L80" s="139">
        <v>91.179792141230067</v>
      </c>
      <c r="M80" s="139">
        <v>96.356944444444451</v>
      </c>
      <c r="N80" s="139">
        <v>95.361931819173293</v>
      </c>
      <c r="O80" s="124">
        <v>98.6</v>
      </c>
      <c r="Q80" s="115">
        <f t="shared" si="14"/>
        <v>95.021242044664973</v>
      </c>
      <c r="R80" s="87">
        <f t="shared" si="10"/>
        <v>95.021242044664973</v>
      </c>
      <c r="S80" s="87" t="str">
        <f t="shared" si="11"/>
        <v>.</v>
      </c>
      <c r="U80" s="171"/>
    </row>
    <row r="81" spans="2:21" ht="20.25" hidden="1" customHeight="1">
      <c r="B81" s="125"/>
      <c r="C81" s="138" t="s">
        <v>126</v>
      </c>
      <c r="D81" s="138" t="s">
        <v>271</v>
      </c>
      <c r="E81" s="118">
        <f t="shared" si="12"/>
        <v>195</v>
      </c>
      <c r="F81" s="118">
        <f t="shared" si="13"/>
        <v>88</v>
      </c>
      <c r="G81" s="138">
        <f t="shared" si="15"/>
        <v>36</v>
      </c>
      <c r="H81" s="119">
        <f t="array" ref="H81">SUMPRODUCT($J$3:$O$3,J81:O81)/SUM(($J$3:$O$3)*(J81:O81&lt;&gt;"."))</f>
        <v>93.730932702942241</v>
      </c>
      <c r="I81" s="120">
        <f t="array" ref="I81">SUMPRODUCT($J$3:$N$3,J81:N81)/SUM(($J$3:$N$3)*(J81:N81&lt;&gt;"."))</f>
        <v>93.748350213623411</v>
      </c>
      <c r="J81" s="139">
        <v>92.668070375254715</v>
      </c>
      <c r="K81" s="139">
        <v>91.67676991150438</v>
      </c>
      <c r="L81" s="139">
        <v>93.684697659970993</v>
      </c>
      <c r="M81" s="139">
        <v>95.218181818181804</v>
      </c>
      <c r="N81" s="139">
        <v>94.828630051992107</v>
      </c>
      <c r="O81" s="124">
        <v>93.4</v>
      </c>
      <c r="Q81" s="115">
        <f t="shared" si="14"/>
        <v>93.730932702942241</v>
      </c>
      <c r="R81" s="87">
        <f t="shared" si="10"/>
        <v>93.730932702942241</v>
      </c>
      <c r="S81" s="87" t="str">
        <f t="shared" si="11"/>
        <v>.</v>
      </c>
      <c r="U81" s="171"/>
    </row>
    <row r="82" spans="2:21" ht="20.25" hidden="1" customHeight="1">
      <c r="B82" s="125"/>
      <c r="C82" s="138" t="s">
        <v>127</v>
      </c>
      <c r="D82" s="138" t="s">
        <v>271</v>
      </c>
      <c r="E82" s="118">
        <f t="shared" si="12"/>
        <v>193</v>
      </c>
      <c r="F82" s="118">
        <f t="shared" si="13"/>
        <v>86</v>
      </c>
      <c r="G82" s="138">
        <f t="shared" si="15"/>
        <v>35</v>
      </c>
      <c r="H82" s="119">
        <f t="array" ref="H82">SUMPRODUCT($J$3:$O$3,J82:O82)/SUM(($J$3:$O$3)*(J82:O82&lt;&gt;"."))</f>
        <v>93.790635088370948</v>
      </c>
      <c r="I82" s="120">
        <f t="array" ref="I82">SUMPRODUCT($J$3:$N$3,J82:N82)/SUM(($J$3:$N$3)*(J82:N82&lt;&gt;"."))</f>
        <v>93.658563250916785</v>
      </c>
      <c r="J82" s="139">
        <v>94.033445945945928</v>
      </c>
      <c r="K82" s="139">
        <v>94.314147286821679</v>
      </c>
      <c r="L82" s="139">
        <v>94.474253731343282</v>
      </c>
      <c r="M82" s="139">
        <v>91.504807692307693</v>
      </c>
      <c r="N82" s="139">
        <v>93.283680555887628</v>
      </c>
      <c r="O82" s="124">
        <v>96.3</v>
      </c>
      <c r="Q82" s="115">
        <f t="shared" si="14"/>
        <v>93.790635088370948</v>
      </c>
      <c r="R82" s="87">
        <f t="shared" si="10"/>
        <v>93.790635088370948</v>
      </c>
      <c r="S82" s="87" t="str">
        <f t="shared" si="11"/>
        <v>.</v>
      </c>
      <c r="U82" s="171"/>
    </row>
    <row r="83" spans="2:21" ht="20.25" hidden="1" customHeight="1">
      <c r="B83" s="125"/>
      <c r="C83" s="138" t="s">
        <v>128</v>
      </c>
      <c r="D83" s="138" t="s">
        <v>271</v>
      </c>
      <c r="E83" s="118">
        <f t="shared" si="12"/>
        <v>125</v>
      </c>
      <c r="F83" s="118">
        <f t="shared" si="13"/>
        <v>32</v>
      </c>
      <c r="G83" s="138">
        <f t="shared" si="15"/>
        <v>23</v>
      </c>
      <c r="H83" s="119">
        <f t="array" ref="H83">SUMPRODUCT($J$3:$O$3,J83:O83)/SUM(($J$3:$O$3)*(J83:O83&lt;&gt;"."))</f>
        <v>95.134037044411556</v>
      </c>
      <c r="I83" s="120">
        <f t="array" ref="I83">SUMPRODUCT($J$3:$N$3,J83:N83)/SUM(($J$3:$N$3)*(J83:N83&lt;&gt;"."))</f>
        <v>95.088460046749006</v>
      </c>
      <c r="J83" s="139">
        <v>93.35738095238095</v>
      </c>
      <c r="K83" s="139">
        <v>94.314957264957243</v>
      </c>
      <c r="L83" s="139">
        <v>92.526865671641787</v>
      </c>
      <c r="M83" s="139">
        <v>91.188461538461539</v>
      </c>
      <c r="N83" s="139">
        <v>96.81953914111709</v>
      </c>
      <c r="O83" s="124">
        <v>96</v>
      </c>
      <c r="Q83" s="115">
        <f t="shared" si="14"/>
        <v>95.134037044411556</v>
      </c>
      <c r="R83" s="87">
        <f t="shared" si="10"/>
        <v>95.134037044411556</v>
      </c>
      <c r="S83" s="87" t="str">
        <f t="shared" si="11"/>
        <v>.</v>
      </c>
      <c r="U83" s="171"/>
    </row>
    <row r="84" spans="2:21" ht="20.25" hidden="1" customHeight="1">
      <c r="B84" s="125"/>
      <c r="C84" s="138" t="s">
        <v>129</v>
      </c>
      <c r="D84" s="138" t="s">
        <v>271</v>
      </c>
      <c r="E84" s="118">
        <f t="shared" si="12"/>
        <v>56</v>
      </c>
      <c r="F84" s="118">
        <f t="shared" si="13"/>
        <v>3</v>
      </c>
      <c r="G84" s="138">
        <f t="shared" si="15"/>
        <v>7</v>
      </c>
      <c r="H84" s="119">
        <f t="array" ref="H84">SUMPRODUCT($J$3:$O$3,J84:O84)/SUM(($J$3:$O$3)*(J84:O84&lt;&gt;"."))</f>
        <v>96.402168839200314</v>
      </c>
      <c r="I84" s="120">
        <f t="array" ref="I84">SUMPRODUCT($J$3:$N$3,J84:N84)/SUM(($J$3:$N$3)*(J84:N84&lt;&gt;"."))</f>
        <v>96.29701983073717</v>
      </c>
      <c r="J84" s="139">
        <v>94.22794117647058</v>
      </c>
      <c r="K84" s="139">
        <v>95.817326732673237</v>
      </c>
      <c r="L84" s="139">
        <v>92.239795918367335</v>
      </c>
      <c r="M84" s="139">
        <v>91.072499999999991</v>
      </c>
      <c r="N84" s="139">
        <v>98.366098485003761</v>
      </c>
      <c r="O84" s="124">
        <v>98.4</v>
      </c>
      <c r="Q84" s="115">
        <f t="shared" si="14"/>
        <v>96.402168839200314</v>
      </c>
      <c r="R84" s="87">
        <f t="shared" si="10"/>
        <v>96.402168839200314</v>
      </c>
      <c r="S84" s="87" t="str">
        <f t="shared" si="11"/>
        <v>.</v>
      </c>
      <c r="U84" s="171"/>
    </row>
    <row r="85" spans="2:21" ht="20.25" hidden="1" customHeight="1">
      <c r="B85" s="125"/>
      <c r="C85" s="138" t="s">
        <v>131</v>
      </c>
      <c r="D85" s="138" t="s">
        <v>271</v>
      </c>
      <c r="E85" s="118">
        <f t="shared" si="12"/>
        <v>78</v>
      </c>
      <c r="F85" s="118">
        <f t="shared" si="13"/>
        <v>11</v>
      </c>
      <c r="G85" s="138">
        <f t="shared" si="15"/>
        <v>9</v>
      </c>
      <c r="H85" s="119">
        <f t="array" ref="H85">SUMPRODUCT($J$3:$O$3,J85:O85)/SUM(($J$3:$O$3)*(J85:O85&lt;&gt;"."))</f>
        <v>96.055345643992908</v>
      </c>
      <c r="I85" s="120">
        <f t="array" ref="I85">SUMPRODUCT($J$3:$N$3,J85:N85)/SUM(($J$3:$N$3)*(J85:N85&lt;&gt;"."))</f>
        <v>95.910890151571493</v>
      </c>
      <c r="J85" s="139">
        <v>96.0863636363636</v>
      </c>
      <c r="K85" s="139">
        <v>97.109426229508202</v>
      </c>
      <c r="L85" s="139">
        <v>93.682738095238093</v>
      </c>
      <c r="M85" s="139">
        <v>98.227777777777774</v>
      </c>
      <c r="N85" s="139">
        <v>95.735416666779372</v>
      </c>
      <c r="O85" s="124">
        <v>98.8</v>
      </c>
      <c r="Q85" s="115">
        <f t="shared" si="14"/>
        <v>96.055345643992908</v>
      </c>
      <c r="R85" s="87">
        <f t="shared" si="10"/>
        <v>96.055345643992908</v>
      </c>
      <c r="S85" s="87" t="str">
        <f t="shared" si="11"/>
        <v>.</v>
      </c>
      <c r="U85" s="171"/>
    </row>
    <row r="86" spans="2:21" ht="20.25" hidden="1" customHeight="1">
      <c r="B86" s="125"/>
      <c r="C86" s="138" t="s">
        <v>130</v>
      </c>
      <c r="D86" s="138" t="s">
        <v>271</v>
      </c>
      <c r="E86" s="118">
        <f t="shared" si="12"/>
        <v>147</v>
      </c>
      <c r="F86" s="118">
        <f t="shared" si="13"/>
        <v>52</v>
      </c>
      <c r="G86" s="138">
        <f t="shared" si="15"/>
        <v>28</v>
      </c>
      <c r="H86" s="119">
        <f t="array" ref="H86">SUMPRODUCT($J$3:$O$3,J86:O86)/SUM(($J$3:$O$3)*(J86:O86&lt;&gt;"."))</f>
        <v>94.709581234044606</v>
      </c>
      <c r="I86" s="120">
        <f t="array" ref="I86">SUMPRODUCT($J$3:$N$3,J86:N86)/SUM(($J$3:$N$3)*(J86:N86&lt;&gt;"."))</f>
        <v>94.76798024636274</v>
      </c>
      <c r="J86" s="139">
        <v>95.897923875432539</v>
      </c>
      <c r="K86" s="139">
        <v>96.004347826086956</v>
      </c>
      <c r="L86" s="139">
        <v>95.356182795698928</v>
      </c>
      <c r="M86" s="139">
        <v>96.847857142857137</v>
      </c>
      <c r="N86" s="139">
        <v>93.638036617292926</v>
      </c>
      <c r="O86" s="124">
        <v>93.6</v>
      </c>
      <c r="Q86" s="115">
        <f t="shared" si="14"/>
        <v>94.709581234044606</v>
      </c>
      <c r="R86" s="87">
        <f t="shared" si="10"/>
        <v>94.709581234044606</v>
      </c>
      <c r="S86" s="87" t="str">
        <f t="shared" si="11"/>
        <v>.</v>
      </c>
      <c r="U86" s="171"/>
    </row>
    <row r="87" spans="2:21" ht="20.25" hidden="1" customHeight="1">
      <c r="B87" s="125"/>
      <c r="C87" s="142" t="s">
        <v>132</v>
      </c>
      <c r="D87" s="138" t="s">
        <v>271</v>
      </c>
      <c r="E87" s="118">
        <f t="shared" si="12"/>
        <v>192</v>
      </c>
      <c r="F87" s="118">
        <f t="shared" si="13"/>
        <v>85</v>
      </c>
      <c r="G87" s="138">
        <f t="shared" si="15"/>
        <v>34</v>
      </c>
      <c r="H87" s="119">
        <f t="array" ref="H87">SUMPRODUCT($J$3:$O$3,J87:O87)/SUM(($J$3:$O$3)*(J87:O87&lt;&gt;"."))</f>
        <v>93.851564950225708</v>
      </c>
      <c r="I87" s="120">
        <f t="array" ref="I87">SUMPRODUCT($J$3:$N$3,J87:N87)/SUM(($J$3:$N$3)*(J87:N87&lt;&gt;"."))</f>
        <v>93.749015737079702</v>
      </c>
      <c r="J87" s="139">
        <v>93.562930463155311</v>
      </c>
      <c r="K87" s="139">
        <v>93.379315838539227</v>
      </c>
      <c r="L87" s="139">
        <v>93.590357142857158</v>
      </c>
      <c r="M87" s="139">
        <v>94.396296296296285</v>
      </c>
      <c r="N87" s="139">
        <v>93.935101011004093</v>
      </c>
      <c r="O87" s="124">
        <v>95.8</v>
      </c>
      <c r="Q87" s="115">
        <f t="shared" si="14"/>
        <v>93.851564950225708</v>
      </c>
      <c r="R87" s="87">
        <f t="shared" si="10"/>
        <v>93.851564950225708</v>
      </c>
      <c r="S87" s="87" t="str">
        <f t="shared" si="11"/>
        <v>.</v>
      </c>
      <c r="U87" s="171"/>
    </row>
    <row r="88" spans="2:21" ht="20.25" hidden="1" customHeight="1">
      <c r="B88" s="125"/>
      <c r="C88" s="138" t="s">
        <v>133</v>
      </c>
      <c r="D88" s="138" t="s">
        <v>271</v>
      </c>
      <c r="E88" s="118">
        <f t="shared" si="12"/>
        <v>130</v>
      </c>
      <c r="F88" s="118">
        <f t="shared" si="13"/>
        <v>36</v>
      </c>
      <c r="G88" s="138">
        <f t="shared" si="15"/>
        <v>24</v>
      </c>
      <c r="H88" s="119">
        <f t="array" ref="H88">SUMPRODUCT($J$3:$O$3,J88:O88)/SUM(($J$3:$O$3)*(J88:O88&lt;&gt;"."))</f>
        <v>95.058074226994322</v>
      </c>
      <c r="I88" s="120">
        <f t="array" ref="I88">SUMPRODUCT($J$3:$N$3,J88:N88)/SUM(($J$3:$N$3)*(J88:N88&lt;&gt;"."))</f>
        <v>94.79797287052034</v>
      </c>
      <c r="J88" s="139">
        <v>94.507246245822571</v>
      </c>
      <c r="K88" s="139">
        <v>95.560268267486578</v>
      </c>
      <c r="L88" s="139">
        <v>93.267721518987329</v>
      </c>
      <c r="M88" s="139">
        <v>93.243333333333325</v>
      </c>
      <c r="N88" s="139">
        <v>95.088699495218123</v>
      </c>
      <c r="O88" s="124">
        <v>100</v>
      </c>
      <c r="Q88" s="115">
        <f t="shared" si="14"/>
        <v>95.058074226994322</v>
      </c>
      <c r="R88" s="87">
        <f t="shared" si="10"/>
        <v>95.058074226994322</v>
      </c>
      <c r="S88" s="87" t="str">
        <f t="shared" si="11"/>
        <v>.</v>
      </c>
      <c r="U88" s="171"/>
    </row>
    <row r="89" spans="2:21" ht="20.25" hidden="1" customHeight="1">
      <c r="B89" s="125"/>
      <c r="C89" s="138" t="s">
        <v>140</v>
      </c>
      <c r="D89" s="138" t="s">
        <v>271</v>
      </c>
      <c r="E89" s="118">
        <f t="shared" si="12"/>
        <v>136</v>
      </c>
      <c r="F89" s="118">
        <f t="shared" si="13"/>
        <v>42</v>
      </c>
      <c r="G89" s="138">
        <f t="shared" si="15"/>
        <v>26</v>
      </c>
      <c r="H89" s="119">
        <f t="array" ref="H89">SUMPRODUCT($J$3:$O$3,J89:O89)/SUM(($J$3:$O$3)*(J89:O89&lt;&gt;"."))</f>
        <v>94.982621221304214</v>
      </c>
      <c r="I89" s="120">
        <f t="array" ref="I89">SUMPRODUCT($J$3:$N$3,J89:N89)/SUM(($J$3:$N$3)*(J89:N89&lt;&gt;"."))</f>
        <v>94.960653917162333</v>
      </c>
      <c r="J89" s="139">
        <v>94.010322985275408</v>
      </c>
      <c r="K89" s="139">
        <v>93.878736978180626</v>
      </c>
      <c r="L89" s="139">
        <v>93.844266224188786</v>
      </c>
      <c r="M89" s="139">
        <v>94.957291666666663</v>
      </c>
      <c r="N89" s="139">
        <v>95.910984849049242</v>
      </c>
      <c r="O89" s="124">
        <v>95.4</v>
      </c>
      <c r="Q89" s="115">
        <f t="shared" si="14"/>
        <v>94.982621221304214</v>
      </c>
      <c r="R89" s="87">
        <f t="shared" si="10"/>
        <v>94.982621221304214</v>
      </c>
      <c r="S89" s="87" t="str">
        <f t="shared" si="11"/>
        <v>.</v>
      </c>
      <c r="U89" s="171"/>
    </row>
    <row r="90" spans="2:21" ht="20.25" hidden="1" customHeight="1">
      <c r="B90" s="125"/>
      <c r="C90" s="138" t="s">
        <v>134</v>
      </c>
      <c r="D90" s="138" t="s">
        <v>271</v>
      </c>
      <c r="E90" s="118">
        <f t="shared" si="12"/>
        <v>162</v>
      </c>
      <c r="F90" s="118">
        <f t="shared" si="13"/>
        <v>61</v>
      </c>
      <c r="G90" s="138">
        <f t="shared" si="15"/>
        <v>32</v>
      </c>
      <c r="H90" s="119">
        <f t="array" ref="H90">SUMPRODUCT($J$3:$O$3,J90:O90)/SUM(($J$3:$O$3)*(J90:O90&lt;&gt;"."))</f>
        <v>94.487038155028728</v>
      </c>
      <c r="I90" s="120">
        <f t="array" ref="I90">SUMPRODUCT($J$3:$N$3,J90:N90)/SUM(($J$3:$N$3)*(J90:N90&lt;&gt;"."))</f>
        <v>94.265303321082868</v>
      </c>
      <c r="J90" s="139">
        <v>95.380259418981709</v>
      </c>
      <c r="K90" s="139">
        <v>95.798820961977839</v>
      </c>
      <c r="L90" s="139">
        <v>94.731481481481467</v>
      </c>
      <c r="M90" s="139">
        <v>95.051136363636388</v>
      </c>
      <c r="N90" s="139">
        <v>93.150347223184042</v>
      </c>
      <c r="O90" s="124">
        <v>98.7</v>
      </c>
      <c r="Q90" s="115">
        <f t="shared" si="14"/>
        <v>94.487038155028728</v>
      </c>
      <c r="R90" s="87">
        <f t="shared" si="10"/>
        <v>94.487038155028728</v>
      </c>
      <c r="S90" s="87" t="str">
        <f t="shared" si="11"/>
        <v>.</v>
      </c>
      <c r="U90" s="171"/>
    </row>
    <row r="91" spans="2:21" ht="20.25" hidden="1" customHeight="1">
      <c r="B91" s="125"/>
      <c r="C91" s="138" t="s">
        <v>138</v>
      </c>
      <c r="D91" s="138" t="s">
        <v>274</v>
      </c>
      <c r="E91" s="118">
        <f t="shared" si="12"/>
        <v>115</v>
      </c>
      <c r="F91" s="118">
        <f t="shared" si="13"/>
        <v>90</v>
      </c>
      <c r="G91" s="138">
        <f t="shared" si="15"/>
        <v>21</v>
      </c>
      <c r="H91" s="119">
        <f t="array" ref="H91">SUMPRODUCT($J$3:$O$3,J91:O91)/SUM(($J$3:$O$3)*(J91:O91&lt;&gt;"."))</f>
        <v>95.342035418063901</v>
      </c>
      <c r="I91" s="120">
        <f t="array" ref="I91">SUMPRODUCT($J$3:$N$3,J91:N91)/SUM(($J$3:$N$3)*(J91:N91&lt;&gt;"."))</f>
        <v>95.265300440067264</v>
      </c>
      <c r="J91" s="139">
        <v>95.868269230769201</v>
      </c>
      <c r="K91" s="139">
        <v>98.033189655172421</v>
      </c>
      <c r="L91" s="139">
        <v>93.856896551724148</v>
      </c>
      <c r="M91" s="139">
        <v>91.913235294117655</v>
      </c>
      <c r="N91" s="139">
        <v>94.662331649365328</v>
      </c>
      <c r="O91" s="124">
        <v>96.8</v>
      </c>
      <c r="Q91" s="115">
        <f t="shared" si="14"/>
        <v>95.342035418063901</v>
      </c>
      <c r="R91" s="87" t="str">
        <f t="shared" si="10"/>
        <v>.</v>
      </c>
      <c r="S91" s="87">
        <f t="shared" si="11"/>
        <v>95.342035418063901</v>
      </c>
      <c r="U91" s="171"/>
    </row>
    <row r="92" spans="2:21" ht="20.25" hidden="1" customHeight="1">
      <c r="B92" s="125"/>
      <c r="C92" s="138" t="s">
        <v>136</v>
      </c>
      <c r="D92" s="138" t="s">
        <v>274</v>
      </c>
      <c r="E92" s="118">
        <f t="shared" si="12"/>
        <v>153</v>
      </c>
      <c r="F92" s="118">
        <f t="shared" si="13"/>
        <v>98</v>
      </c>
      <c r="G92" s="138">
        <f t="shared" si="15"/>
        <v>31</v>
      </c>
      <c r="H92" s="119">
        <f t="array" ref="H92">SUMPRODUCT($J$3:$O$3,J92:O92)/SUM(($J$3:$O$3)*(J92:O92&lt;&gt;"."))</f>
        <v>94.612297012553142</v>
      </c>
      <c r="I92" s="120">
        <f t="array" ref="I92">SUMPRODUCT($J$3:$N$3,J92:N92)/SUM(($J$3:$N$3)*(J92:N92&lt;&gt;"."))</f>
        <v>94.402417907950664</v>
      </c>
      <c r="J92" s="139">
        <v>91.163169148929853</v>
      </c>
      <c r="K92" s="139">
        <v>92.380322485207103</v>
      </c>
      <c r="L92" s="139">
        <v>89.909234941478744</v>
      </c>
      <c r="M92" s="139">
        <v>89.7890625</v>
      </c>
      <c r="N92" s="139">
        <v>97.641666666971489</v>
      </c>
      <c r="O92" s="124">
        <v>98.6</v>
      </c>
      <c r="Q92" s="115">
        <f t="shared" si="14"/>
        <v>94.612297012553142</v>
      </c>
      <c r="R92" s="87" t="str">
        <f t="shared" si="10"/>
        <v>.</v>
      </c>
      <c r="S92" s="87">
        <f t="shared" si="11"/>
        <v>94.612297012553142</v>
      </c>
      <c r="U92" s="171"/>
    </row>
    <row r="93" spans="2:21" ht="20.25" hidden="1" customHeight="1">
      <c r="B93" s="125"/>
      <c r="C93" s="138" t="s">
        <v>135</v>
      </c>
      <c r="D93" s="138" t="s">
        <v>274</v>
      </c>
      <c r="E93" s="118">
        <f t="shared" si="12"/>
        <v>110</v>
      </c>
      <c r="F93" s="118">
        <f t="shared" si="13"/>
        <v>85</v>
      </c>
      <c r="G93" s="138">
        <f t="shared" si="15"/>
        <v>20</v>
      </c>
      <c r="H93" s="119">
        <f t="array" ref="H93">SUMPRODUCT($J$3:$O$3,J93:O93)/SUM(($J$3:$O$3)*(J93:O93&lt;&gt;"."))</f>
        <v>95.390059695871855</v>
      </c>
      <c r="I93" s="120">
        <f t="array" ref="I93">SUMPRODUCT($J$3:$N$3,J93:N93)/SUM(($J$3:$N$3)*(J93:N93&lt;&gt;"."))</f>
        <v>95.294799679865122</v>
      </c>
      <c r="J93" s="139">
        <v>94.472201698420648</v>
      </c>
      <c r="K93" s="139">
        <v>95.671031746031744</v>
      </c>
      <c r="L93" s="139">
        <v>94.547530687981734</v>
      </c>
      <c r="M93" s="139">
        <v>89.605858468677496</v>
      </c>
      <c r="N93" s="139">
        <v>96.117397661309568</v>
      </c>
      <c r="O93" s="124">
        <v>97.2</v>
      </c>
      <c r="Q93" s="115">
        <f t="shared" si="14"/>
        <v>95.390059695871855</v>
      </c>
      <c r="R93" s="87" t="str">
        <f t="shared" si="10"/>
        <v>.</v>
      </c>
      <c r="S93" s="87">
        <f t="shared" si="11"/>
        <v>95.390059695871855</v>
      </c>
      <c r="U93" s="171"/>
    </row>
    <row r="94" spans="2:21" ht="20.25" hidden="1" customHeight="1">
      <c r="B94" s="125"/>
      <c r="C94" s="138" t="s">
        <v>137</v>
      </c>
      <c r="D94" s="138" t="s">
        <v>274</v>
      </c>
      <c r="E94" s="118">
        <f t="shared" si="12"/>
        <v>99</v>
      </c>
      <c r="F94" s="118">
        <f t="shared" si="13"/>
        <v>81</v>
      </c>
      <c r="G94" s="138">
        <f t="shared" si="15"/>
        <v>16</v>
      </c>
      <c r="H94" s="119">
        <f t="array" ref="H94">SUMPRODUCT($J$3:$O$3,J94:O94)/SUM(($J$3:$O$3)*(J94:O94&lt;&gt;"."))</f>
        <v>95.647357864639119</v>
      </c>
      <c r="I94" s="120">
        <f t="array" ref="I94">SUMPRODUCT($J$3:$N$3,J94:N94)/SUM(($J$3:$N$3)*(J94:N94&lt;&gt;"."))</f>
        <v>95.623534594356968</v>
      </c>
      <c r="J94" s="139">
        <v>94.197826764293509</v>
      </c>
      <c r="K94" s="139">
        <v>93.940218658892121</v>
      </c>
      <c r="L94" s="139">
        <v>94.196951219512201</v>
      </c>
      <c r="M94" s="139">
        <v>95.101250000000007</v>
      </c>
      <c r="N94" s="139">
        <v>97.049242424420441</v>
      </c>
      <c r="O94" s="124">
        <v>96.1</v>
      </c>
      <c r="Q94" s="115">
        <f t="shared" si="14"/>
        <v>95.647357864639119</v>
      </c>
      <c r="R94" s="87" t="str">
        <f t="shared" si="10"/>
        <v>.</v>
      </c>
      <c r="S94" s="87">
        <f t="shared" si="11"/>
        <v>95.647357864639119</v>
      </c>
      <c r="U94" s="171"/>
    </row>
    <row r="95" spans="2:21" ht="20.25" hidden="1" customHeight="1">
      <c r="B95" s="125"/>
      <c r="C95" s="138" t="s">
        <v>139</v>
      </c>
      <c r="D95" s="138" t="s">
        <v>274</v>
      </c>
      <c r="E95" s="118">
        <f t="shared" si="12"/>
        <v>213</v>
      </c>
      <c r="F95" s="118">
        <f t="shared" si="13"/>
        <v>110</v>
      </c>
      <c r="G95" s="138">
        <f t="shared" si="15"/>
        <v>38</v>
      </c>
      <c r="H95" s="119">
        <f t="array" ref="H95">SUMPRODUCT($J$3:$O$3,J95:O95)/SUM(($J$3:$O$3)*(J95:O95&lt;&gt;"."))</f>
        <v>93.211158262774802</v>
      </c>
      <c r="I95" s="120">
        <f t="array" ref="I95">SUMPRODUCT($J$3:$N$3,J95:N95)/SUM(($J$3:$N$3)*(J95:N95&lt;&gt;"."))</f>
        <v>93.101219223973487</v>
      </c>
      <c r="J95" s="139">
        <v>92.192968749999935</v>
      </c>
      <c r="K95" s="139">
        <v>93.853017241379305</v>
      </c>
      <c r="L95" s="139">
        <v>89.256521739130463</v>
      </c>
      <c r="M95" s="139">
        <v>90.276666666666657</v>
      </c>
      <c r="N95" s="139">
        <v>94.009469697946997</v>
      </c>
      <c r="O95" s="124">
        <v>95.3</v>
      </c>
      <c r="Q95" s="115">
        <f t="shared" si="14"/>
        <v>93.211158262774802</v>
      </c>
      <c r="R95" s="87" t="str">
        <f t="shared" si="10"/>
        <v>.</v>
      </c>
      <c r="S95" s="87">
        <f t="shared" si="11"/>
        <v>93.211158262774802</v>
      </c>
      <c r="U95" s="171"/>
    </row>
    <row r="96" spans="2:21" ht="20.25" hidden="1" customHeight="1">
      <c r="B96" s="125"/>
      <c r="C96" s="138" t="s">
        <v>154</v>
      </c>
      <c r="D96" s="138" t="s">
        <v>274</v>
      </c>
      <c r="E96" s="118">
        <f t="shared" si="12"/>
        <v>96</v>
      </c>
      <c r="F96" s="118">
        <f t="shared" si="13"/>
        <v>78</v>
      </c>
      <c r="G96" s="138">
        <f t="shared" si="15"/>
        <v>14</v>
      </c>
      <c r="H96" s="119">
        <f t="array" ref="H96">SUMPRODUCT($J$3:$O$3,J96:O96)/SUM(($J$3:$O$3)*(J96:O96&lt;&gt;"."))</f>
        <v>95.748781817079433</v>
      </c>
      <c r="I96" s="120">
        <f t="array" ref="I96">SUMPRODUCT($J$3:$N$3,J96:N96)/SUM(($J$3:$N$3)*(J96:N96&lt;&gt;"."))</f>
        <v>95.567138754820462</v>
      </c>
      <c r="J96" s="139">
        <v>95.822787610619457</v>
      </c>
      <c r="K96" s="139">
        <v>95.114062500000017</v>
      </c>
      <c r="L96" s="139">
        <v>95.263709677419357</v>
      </c>
      <c r="M96" s="139">
        <v>99.305555555555557</v>
      </c>
      <c r="N96" s="139">
        <v>95.311489899021439</v>
      </c>
      <c r="O96" s="124">
        <v>99.2</v>
      </c>
      <c r="Q96" s="115">
        <f t="shared" si="14"/>
        <v>95.748781817079433</v>
      </c>
      <c r="R96" s="87" t="str">
        <f t="shared" si="10"/>
        <v>.</v>
      </c>
      <c r="S96" s="87">
        <f t="shared" si="11"/>
        <v>95.748781817079433</v>
      </c>
      <c r="U96" s="171"/>
    </row>
    <row r="97" spans="2:24" ht="20.25" hidden="1" customHeight="1">
      <c r="B97" s="125"/>
      <c r="C97" s="138" t="s">
        <v>141</v>
      </c>
      <c r="D97" s="138" t="s">
        <v>274</v>
      </c>
      <c r="E97" s="118">
        <f t="shared" si="12"/>
        <v>15</v>
      </c>
      <c r="F97" s="118">
        <f t="shared" si="13"/>
        <v>15</v>
      </c>
      <c r="G97" s="138">
        <f t="shared" si="15"/>
        <v>2</v>
      </c>
      <c r="H97" s="119">
        <f t="array" ref="H97">SUMPRODUCT($J$3:$O$3,J97:O97)/SUM(($J$3:$O$3)*(J97:O97&lt;&gt;"."))</f>
        <v>97.433378199797701</v>
      </c>
      <c r="I97" s="120">
        <f t="array" ref="I97">SUMPRODUCT($J$3:$N$3,J97:N97)/SUM(($J$3:$N$3)*(J97:N97&lt;&gt;"."))</f>
        <v>97.298292841892319</v>
      </c>
      <c r="J97" s="139">
        <v>97.773647972502616</v>
      </c>
      <c r="K97" s="139">
        <v>97.632730346576494</v>
      </c>
      <c r="L97" s="139">
        <v>97.439673913043464</v>
      </c>
      <c r="M97" s="139">
        <v>99.034999999999997</v>
      </c>
      <c r="N97" s="139">
        <v>96.82293771128198</v>
      </c>
      <c r="O97" s="124">
        <v>100</v>
      </c>
      <c r="Q97" s="115">
        <f t="shared" si="14"/>
        <v>97.433378199797701</v>
      </c>
      <c r="R97" s="87" t="str">
        <f t="shared" si="10"/>
        <v>.</v>
      </c>
      <c r="S97" s="87">
        <f t="shared" si="11"/>
        <v>97.433378199797701</v>
      </c>
      <c r="U97" s="171"/>
    </row>
    <row r="98" spans="2:24" ht="20.25" hidden="1" customHeight="1">
      <c r="B98" s="125"/>
      <c r="C98" s="138" t="s">
        <v>142</v>
      </c>
      <c r="D98" s="138" t="s">
        <v>274</v>
      </c>
      <c r="E98" s="118">
        <f t="shared" si="12"/>
        <v>19</v>
      </c>
      <c r="F98" s="118">
        <f t="shared" si="13"/>
        <v>19</v>
      </c>
      <c r="G98" s="138">
        <f t="shared" si="15"/>
        <v>3</v>
      </c>
      <c r="H98" s="119">
        <f t="array" ref="H98">SUMPRODUCT($J$3:$O$3,J98:O98)/SUM(($J$3:$O$3)*(J98:O98&lt;&gt;"."))</f>
        <v>97.30497888922342</v>
      </c>
      <c r="I98" s="120">
        <f t="array" ref="I98">SUMPRODUCT($J$3:$N$3,J98:N98)/SUM(($J$3:$N$3)*(J98:N98&lt;&gt;"."))</f>
        <v>97.399977778129923</v>
      </c>
      <c r="J98" s="139">
        <v>97.179400000000001</v>
      </c>
      <c r="K98" s="139">
        <v>97.868939393939385</v>
      </c>
      <c r="L98" s="139">
        <v>96.469767441860455</v>
      </c>
      <c r="M98" s="139">
        <v>96.2421875</v>
      </c>
      <c r="N98" s="139">
        <v>97.620555556259816</v>
      </c>
      <c r="O98" s="124">
        <v>95.5</v>
      </c>
      <c r="Q98" s="115">
        <f t="shared" si="14"/>
        <v>97.30497888922342</v>
      </c>
      <c r="R98" s="87" t="str">
        <f t="shared" si="10"/>
        <v>.</v>
      </c>
      <c r="S98" s="87">
        <f t="shared" si="11"/>
        <v>97.30497888922342</v>
      </c>
      <c r="U98" s="171"/>
    </row>
    <row r="99" spans="2:24" ht="20.25" hidden="1" customHeight="1">
      <c r="B99" s="125"/>
      <c r="C99" s="138" t="s">
        <v>143</v>
      </c>
      <c r="D99" s="138" t="s">
        <v>274</v>
      </c>
      <c r="E99" s="118">
        <f t="shared" si="12"/>
        <v>14</v>
      </c>
      <c r="F99" s="118">
        <f t="shared" si="13"/>
        <v>14</v>
      </c>
      <c r="G99" s="138">
        <f t="shared" si="15"/>
        <v>1</v>
      </c>
      <c r="H99" s="119">
        <f t="array" ref="H99">SUMPRODUCT($J$3:$O$3,J99:O99)/SUM(($J$3:$O$3)*(J99:O99&lt;&gt;"."))</f>
        <v>97.437744831868542</v>
      </c>
      <c r="I99" s="120">
        <f t="array" ref="I99">SUMPRODUCT($J$3:$N$3,J99:N99)/SUM(($J$3:$N$3)*(J99:N99&lt;&gt;"."))</f>
        <v>97.508152454598473</v>
      </c>
      <c r="J99" s="139">
        <v>96.061969892047145</v>
      </c>
      <c r="K99" s="139">
        <v>96.575862068965506</v>
      </c>
      <c r="L99" s="139">
        <v>95.825698357511072</v>
      </c>
      <c r="M99" s="139">
        <v>94.965789473684211</v>
      </c>
      <c r="N99" s="139">
        <v>98.95433501714983</v>
      </c>
      <c r="O99" s="124">
        <v>96.1</v>
      </c>
      <c r="Q99" s="115">
        <f t="shared" si="14"/>
        <v>97.437744831868542</v>
      </c>
      <c r="R99" s="87" t="str">
        <f t="shared" si="10"/>
        <v>.</v>
      </c>
      <c r="S99" s="87">
        <f t="shared" si="11"/>
        <v>97.437744831868542</v>
      </c>
      <c r="U99" s="171"/>
    </row>
    <row r="100" spans="2:24" ht="20.25" hidden="1" customHeight="1">
      <c r="B100" s="125"/>
      <c r="C100" s="138" t="s">
        <v>144</v>
      </c>
      <c r="D100" s="138" t="s">
        <v>274</v>
      </c>
      <c r="E100" s="118">
        <f t="shared" si="12"/>
        <v>98</v>
      </c>
      <c r="F100" s="118">
        <f t="shared" si="13"/>
        <v>80</v>
      </c>
      <c r="G100" s="138">
        <f t="shared" si="15"/>
        <v>15</v>
      </c>
      <c r="H100" s="119">
        <f t="array" ref="H100">SUMPRODUCT($J$3:$O$3,J100:O100)/SUM(($J$3:$O$3)*(J100:O100&lt;&gt;"."))</f>
        <v>95.650055244922058</v>
      </c>
      <c r="I100" s="120">
        <f t="array" ref="I100">SUMPRODUCT($J$3:$N$3,J100:N100)/SUM(($J$3:$N$3)*(J100:N100&lt;&gt;"."))</f>
        <v>95.573742363075851</v>
      </c>
      <c r="J100" s="139">
        <v>94.815035230033047</v>
      </c>
      <c r="K100" s="139">
        <v>95.237790697674413</v>
      </c>
      <c r="L100" s="139">
        <v>96.102112736105795</v>
      </c>
      <c r="M100" s="139">
        <v>90.618749999999991</v>
      </c>
      <c r="N100" s="139">
        <v>96.332449496118656</v>
      </c>
      <c r="O100" s="124">
        <v>97.1</v>
      </c>
      <c r="Q100" s="115">
        <f t="shared" si="14"/>
        <v>95.650055244922058</v>
      </c>
      <c r="R100" s="87" t="str">
        <f t="shared" si="10"/>
        <v>.</v>
      </c>
      <c r="S100" s="87">
        <f t="shared" si="11"/>
        <v>95.650055244922058</v>
      </c>
      <c r="U100" s="171"/>
    </row>
    <row r="101" spans="2:24" ht="20.25" hidden="1" customHeight="1">
      <c r="B101" s="125"/>
      <c r="C101" s="138" t="s">
        <v>145</v>
      </c>
      <c r="D101" s="138" t="s">
        <v>274</v>
      </c>
      <c r="E101" s="118">
        <f t="shared" si="12"/>
        <v>105</v>
      </c>
      <c r="F101" s="118">
        <f t="shared" si="13"/>
        <v>84</v>
      </c>
      <c r="G101" s="138">
        <f t="shared" si="15"/>
        <v>17</v>
      </c>
      <c r="H101" s="119">
        <f t="array" ref="H101">SUMPRODUCT($J$3:$O$3,J101:O101)/SUM(($J$3:$O$3)*(J101:O101&lt;&gt;"."))</f>
        <v>95.533333475328831</v>
      </c>
      <c r="I101" s="120">
        <f t="array" ref="I101">SUMPRODUCT($J$3:$N$3,J101:N101)/SUM(($J$3:$N$3)*(J101:N101&lt;&gt;"."))</f>
        <v>95.319298395082981</v>
      </c>
      <c r="J101" s="139">
        <v>95.465111940298499</v>
      </c>
      <c r="K101" s="139">
        <v>96.166216216216228</v>
      </c>
      <c r="L101" s="139">
        <v>94.220731707317071</v>
      </c>
      <c r="M101" s="139">
        <v>95.419736842105266</v>
      </c>
      <c r="N101" s="139">
        <v>95.173484849867449</v>
      </c>
      <c r="O101" s="124">
        <v>99.6</v>
      </c>
      <c r="Q101" s="115">
        <f t="shared" si="14"/>
        <v>95.533333475328831</v>
      </c>
      <c r="R101" s="87" t="str">
        <f t="shared" si="10"/>
        <v>.</v>
      </c>
      <c r="S101" s="87">
        <f t="shared" si="11"/>
        <v>95.533333475328831</v>
      </c>
      <c r="U101" s="171"/>
    </row>
    <row r="102" spans="2:24" ht="20.25" hidden="1" customHeight="1">
      <c r="B102" s="125"/>
      <c r="C102" s="138" t="s">
        <v>146</v>
      </c>
      <c r="D102" s="138" t="s">
        <v>274</v>
      </c>
      <c r="E102" s="118">
        <f t="shared" si="12"/>
        <v>32</v>
      </c>
      <c r="F102" s="118">
        <f t="shared" si="13"/>
        <v>32</v>
      </c>
      <c r="G102" s="138">
        <f t="shared" si="15"/>
        <v>4</v>
      </c>
      <c r="H102" s="119">
        <f t="array" ref="H102">SUMPRODUCT($J$3:$O$3,J102:O102)/SUM(($J$3:$O$3)*(J102:O102&lt;&gt;"."))</f>
        <v>97.084558280626425</v>
      </c>
      <c r="I102" s="120">
        <f t="array" ref="I102">SUMPRODUCT($J$3:$N$3,J102:N102)/SUM(($J$3:$N$3)*(J102:N102&lt;&gt;"."))</f>
        <v>97.01532450592255</v>
      </c>
      <c r="J102" s="139">
        <v>96.881869549563959</v>
      </c>
      <c r="K102" s="139">
        <v>97.627419354838707</v>
      </c>
      <c r="L102" s="139">
        <v>95.603947368421046</v>
      </c>
      <c r="M102" s="139">
        <v>97.027929234338743</v>
      </c>
      <c r="N102" s="139">
        <v>97.148779462281141</v>
      </c>
      <c r="O102" s="124">
        <v>98.4</v>
      </c>
      <c r="Q102" s="115">
        <f t="shared" si="14"/>
        <v>97.084558280626425</v>
      </c>
      <c r="R102" s="87" t="str">
        <f t="shared" si="10"/>
        <v>.</v>
      </c>
      <c r="S102" s="87">
        <f t="shared" si="11"/>
        <v>97.084558280626425</v>
      </c>
      <c r="U102" s="171"/>
    </row>
    <row r="103" spans="2:24" ht="20.25" hidden="1" customHeight="1">
      <c r="B103" s="125"/>
      <c r="C103" s="138" t="s">
        <v>147</v>
      </c>
      <c r="D103" s="138" t="s">
        <v>274</v>
      </c>
      <c r="E103" s="118">
        <f t="shared" si="12"/>
        <v>83</v>
      </c>
      <c r="F103" s="118">
        <f t="shared" si="13"/>
        <v>72</v>
      </c>
      <c r="G103" s="138">
        <f t="shared" si="15"/>
        <v>11</v>
      </c>
      <c r="H103" s="119">
        <f t="array" ref="H103">SUMPRODUCT($J$3:$O$3,J103:O103)/SUM(($J$3:$O$3)*(J103:O103&lt;&gt;"."))</f>
        <v>95.999971440365954</v>
      </c>
      <c r="I103" s="120">
        <f t="array" ref="I103">SUMPRODUCT($J$3:$N$3,J103:N103)/SUM(($J$3:$N$3)*(J103:N103&lt;&gt;"."))</f>
        <v>95.78944362143784</v>
      </c>
      <c r="J103" s="139">
        <v>96.639661654135352</v>
      </c>
      <c r="K103" s="139">
        <v>97.606071428571411</v>
      </c>
      <c r="L103" s="139">
        <v>95.178333333333327</v>
      </c>
      <c r="M103" s="139">
        <v>96.534722222222229</v>
      </c>
      <c r="N103" s="139">
        <v>94.939225588740314</v>
      </c>
      <c r="O103" s="124">
        <v>100</v>
      </c>
      <c r="Q103" s="115">
        <f t="shared" si="14"/>
        <v>95.999971440365954</v>
      </c>
      <c r="R103" s="87" t="str">
        <f t="shared" si="10"/>
        <v>.</v>
      </c>
      <c r="S103" s="87">
        <f t="shared" si="11"/>
        <v>95.999971440365954</v>
      </c>
      <c r="U103" s="171"/>
    </row>
    <row r="104" spans="2:24" ht="20.25" hidden="1" customHeight="1">
      <c r="B104" s="125"/>
      <c r="C104" s="142" t="s">
        <v>148</v>
      </c>
      <c r="D104" s="138" t="s">
        <v>274</v>
      </c>
      <c r="E104" s="118">
        <f t="shared" si="12"/>
        <v>94</v>
      </c>
      <c r="F104" s="118">
        <f t="shared" si="13"/>
        <v>77</v>
      </c>
      <c r="G104" s="138">
        <f t="shared" si="15"/>
        <v>13</v>
      </c>
      <c r="H104" s="119">
        <f t="array" ref="H104">SUMPRODUCT($J$3:$O$3,J104:O104)/SUM(($J$3:$O$3)*(J104:O104&lt;&gt;"."))</f>
        <v>95.773651758222911</v>
      </c>
      <c r="I104" s="120">
        <f t="array" ref="I104">SUMPRODUCT($J$3:$N$3,J104:N104)/SUM(($J$3:$N$3)*(J104:N104&lt;&gt;"."))</f>
        <v>95.756475534971486</v>
      </c>
      <c r="J104" s="139">
        <v>96.062614369078929</v>
      </c>
      <c r="K104" s="139">
        <v>94.885810810810796</v>
      </c>
      <c r="L104" s="139">
        <v>97.034388093812922</v>
      </c>
      <c r="M104" s="139">
        <v>98.034523809523833</v>
      </c>
      <c r="N104" s="139">
        <v>95.450336700864057</v>
      </c>
      <c r="O104" s="124">
        <v>96.1</v>
      </c>
      <c r="Q104" s="115">
        <f t="shared" si="14"/>
        <v>95.773651758222911</v>
      </c>
      <c r="R104" s="87" t="str">
        <f t="shared" si="10"/>
        <v>.</v>
      </c>
      <c r="S104" s="87">
        <f t="shared" si="11"/>
        <v>95.773651758222911</v>
      </c>
      <c r="U104" s="171"/>
    </row>
    <row r="105" spans="2:24" ht="20.25" hidden="1" customHeight="1">
      <c r="B105" s="125"/>
      <c r="C105" s="142" t="s">
        <v>149</v>
      </c>
      <c r="D105" s="138" t="s">
        <v>274</v>
      </c>
      <c r="E105" s="118">
        <f t="shared" si="12"/>
        <v>68</v>
      </c>
      <c r="F105" s="118">
        <f t="shared" si="13"/>
        <v>61</v>
      </c>
      <c r="G105" s="138">
        <f t="shared" si="15"/>
        <v>8</v>
      </c>
      <c r="H105" s="119">
        <f t="array" ref="H105">SUMPRODUCT($J$3:$O$3,J105:O105)/SUM(($J$3:$O$3)*(J105:O105&lt;&gt;"."))</f>
        <v>96.236945422292095</v>
      </c>
      <c r="I105" s="120">
        <f t="array" ref="I105">SUMPRODUCT($J$3:$N$3,J105:N105)/SUM(($J$3:$N$3)*(J105:N105&lt;&gt;"."))</f>
        <v>96.196784655044311</v>
      </c>
      <c r="J105" s="139">
        <v>96.312355859479737</v>
      </c>
      <c r="K105" s="139">
        <v>96.233450704225334</v>
      </c>
      <c r="L105" s="139">
        <v>96.411451748841131</v>
      </c>
      <c r="M105" s="139">
        <v>96.388157894736835</v>
      </c>
      <c r="N105" s="139">
        <v>96.0812134506089</v>
      </c>
      <c r="O105" s="124">
        <v>97</v>
      </c>
      <c r="Q105" s="115">
        <f t="shared" si="14"/>
        <v>96.236945422292095</v>
      </c>
      <c r="R105" s="87" t="str">
        <f t="shared" si="10"/>
        <v>.</v>
      </c>
      <c r="S105" s="87">
        <f t="shared" si="11"/>
        <v>96.236945422292095</v>
      </c>
      <c r="U105" s="171"/>
    </row>
    <row r="106" spans="2:24" ht="20.25" hidden="1" customHeight="1">
      <c r="B106" s="125"/>
      <c r="C106" s="142" t="s">
        <v>150</v>
      </c>
      <c r="D106" s="138" t="s">
        <v>274</v>
      </c>
      <c r="E106" s="118">
        <f t="shared" si="12"/>
        <v>42</v>
      </c>
      <c r="F106" s="118">
        <f t="shared" si="13"/>
        <v>42</v>
      </c>
      <c r="G106" s="138">
        <f t="shared" si="15"/>
        <v>6</v>
      </c>
      <c r="H106" s="119">
        <f t="array" ref="H106">SUMPRODUCT($J$3:$O$3,J106:O106)/SUM(($J$3:$O$3)*(J106:O106&lt;&gt;"."))</f>
        <v>96.727429404989849</v>
      </c>
      <c r="I106" s="120">
        <f t="array" ref="I106">SUMPRODUCT($J$3:$N$3,J106:N106)/SUM(($J$3:$N$3)*(J106:N106&lt;&gt;"."))</f>
        <v>96.623609899989319</v>
      </c>
      <c r="J106" s="139">
        <v>94.984172661870488</v>
      </c>
      <c r="K106" s="139">
        <v>95.194097222222226</v>
      </c>
      <c r="L106" s="139">
        <v>94.903571428571425</v>
      </c>
      <c r="M106" s="139">
        <v>94.36388888888888</v>
      </c>
      <c r="N106" s="139">
        <v>98.263047138108163</v>
      </c>
      <c r="O106" s="124">
        <v>98.7</v>
      </c>
      <c r="Q106" s="115">
        <f t="shared" si="14"/>
        <v>96.727429404989849</v>
      </c>
      <c r="R106" s="87" t="str">
        <f t="shared" si="10"/>
        <v>.</v>
      </c>
      <c r="S106" s="87">
        <f t="shared" si="11"/>
        <v>96.727429404989849</v>
      </c>
      <c r="U106" s="171"/>
    </row>
    <row r="107" spans="2:24" ht="20.25" hidden="1" customHeight="1">
      <c r="B107" s="125"/>
      <c r="C107" s="142" t="s">
        <v>151</v>
      </c>
      <c r="D107" s="138" t="s">
        <v>274</v>
      </c>
      <c r="E107" s="118">
        <f t="shared" si="12"/>
        <v>82</v>
      </c>
      <c r="F107" s="118">
        <f t="shared" si="13"/>
        <v>71</v>
      </c>
      <c r="G107" s="138">
        <f t="shared" si="15"/>
        <v>10</v>
      </c>
      <c r="H107" s="119">
        <f t="array" ref="H107">SUMPRODUCT($J$3:$O$3,J107:O107)/SUM(($J$3:$O$3)*(J107:O107&lt;&gt;"."))</f>
        <v>96.001914276123387</v>
      </c>
      <c r="I107" s="120">
        <f t="array" ref="I107">SUMPRODUCT($J$3:$N$3,J107:N107)/SUM(($J$3:$N$3)*(J107:N107&lt;&gt;"."))</f>
        <v>95.854646606445669</v>
      </c>
      <c r="J107" s="139">
        <v>96.454831932773104</v>
      </c>
      <c r="K107" s="139">
        <v>96.722580645161287</v>
      </c>
      <c r="L107" s="139">
        <v>96.701973684210543</v>
      </c>
      <c r="M107" s="139">
        <v>95.086842105263145</v>
      </c>
      <c r="N107" s="139">
        <v>95.254461280118235</v>
      </c>
      <c r="O107" s="124">
        <v>98.8</v>
      </c>
      <c r="Q107" s="115">
        <f t="shared" si="14"/>
        <v>96.001914276123387</v>
      </c>
      <c r="R107" s="87" t="str">
        <f t="shared" si="10"/>
        <v>.</v>
      </c>
      <c r="S107" s="87">
        <f t="shared" si="11"/>
        <v>96.001914276123387</v>
      </c>
      <c r="U107" s="171"/>
    </row>
    <row r="108" spans="2:24" ht="20.25" hidden="1" customHeight="1">
      <c r="B108" s="125"/>
      <c r="C108" s="142" t="s">
        <v>152</v>
      </c>
      <c r="D108" s="138" t="s">
        <v>274</v>
      </c>
      <c r="E108" s="118">
        <f t="shared" si="12"/>
        <v>37</v>
      </c>
      <c r="F108" s="118">
        <f t="shared" si="13"/>
        <v>37</v>
      </c>
      <c r="G108" s="138">
        <f t="shared" si="15"/>
        <v>5</v>
      </c>
      <c r="H108" s="119">
        <f t="array" ref="H108">SUMPRODUCT($J$3:$O$3,J108:O108)/SUM(($J$3:$O$3)*(J108:O108&lt;&gt;"."))</f>
        <v>96.956602088900112</v>
      </c>
      <c r="I108" s="120">
        <f t="array" ref="I108">SUMPRODUCT($J$3:$N$3,J108:N108)/SUM(($J$3:$N$3)*(J108:N108&lt;&gt;"."))</f>
        <v>96.901686409368537</v>
      </c>
      <c r="J108" s="139">
        <v>96.278625343942878</v>
      </c>
      <c r="K108" s="139">
        <v>97.065909090909088</v>
      </c>
      <c r="L108" s="139">
        <v>95.355733775811217</v>
      </c>
      <c r="M108" s="139">
        <v>95.17647058823529</v>
      </c>
      <c r="N108" s="139">
        <v>97.524747474794182</v>
      </c>
      <c r="O108" s="124">
        <v>98</v>
      </c>
      <c r="Q108" s="115">
        <f t="shared" si="14"/>
        <v>96.956602088900112</v>
      </c>
      <c r="R108" s="87" t="str">
        <f t="shared" si="10"/>
        <v>.</v>
      </c>
      <c r="S108" s="87">
        <f t="shared" si="11"/>
        <v>96.956602088900112</v>
      </c>
      <c r="U108" s="171"/>
    </row>
    <row r="109" spans="2:24" ht="20.25" hidden="1" customHeight="1" thickBot="1">
      <c r="B109" s="126"/>
      <c r="C109" s="140" t="s">
        <v>153</v>
      </c>
      <c r="D109" s="140" t="s">
        <v>274</v>
      </c>
      <c r="E109" s="128">
        <f t="shared" si="12"/>
        <v>148</v>
      </c>
      <c r="F109" s="128">
        <f t="shared" si="13"/>
        <v>96</v>
      </c>
      <c r="G109" s="140">
        <f t="shared" si="15"/>
        <v>29</v>
      </c>
      <c r="H109" s="129">
        <f t="array" ref="H109">SUMPRODUCT($J$3:$O$3,J109:O109)/SUM(($J$3:$O$3)*(J109:O109&lt;&gt;"."))</f>
        <v>94.677014798893211</v>
      </c>
      <c r="I109" s="130">
        <f t="array" ref="I109">SUMPRODUCT($J$3:$N$3,J109:N109)/SUM(($J$3:$N$3)*(J109:N109&lt;&gt;"."))</f>
        <v>94.491594525150759</v>
      </c>
      <c r="J109" s="141">
        <v>95.862650329022031</v>
      </c>
      <c r="K109" s="141">
        <v>96.145121951219508</v>
      </c>
      <c r="L109" s="141">
        <v>94.67874436466856</v>
      </c>
      <c r="M109" s="141">
        <v>97.74761904761904</v>
      </c>
      <c r="N109" s="141">
        <v>93.120538721279473</v>
      </c>
      <c r="O109" s="134">
        <v>98.2</v>
      </c>
      <c r="Q109" s="115">
        <f t="shared" si="14"/>
        <v>94.677014798893211</v>
      </c>
      <c r="R109" s="87" t="str">
        <f t="shared" si="10"/>
        <v>.</v>
      </c>
      <c r="S109" s="87">
        <f t="shared" si="11"/>
        <v>94.677014798893211</v>
      </c>
      <c r="U109" s="171"/>
    </row>
    <row r="110" spans="2:24" ht="20.25" customHeight="1" thickTop="1" thickBot="1">
      <c r="B110" s="135" t="s">
        <v>269</v>
      </c>
      <c r="C110" s="136"/>
      <c r="D110" s="108" t="s">
        <v>32</v>
      </c>
      <c r="E110" s="108" t="s">
        <v>32</v>
      </c>
      <c r="F110" s="108" t="s">
        <v>32</v>
      </c>
      <c r="G110" s="108" t="s">
        <v>32</v>
      </c>
      <c r="H110" s="109">
        <f t="array" ref="H110">SUMPRODUCT($J$3:$O$3,J110:O110)/SUM(($J$3:$O$3)*(J110:O110&lt;&gt;"."))</f>
        <v>95.904216153278171</v>
      </c>
      <c r="I110" s="110">
        <f t="array" ref="I110">SUMPRODUCT($J$3:$N$3,J110:N110)/SUM(($J$3:$N$3)*(J110:N110&lt;&gt;"."))</f>
        <v>95.774503845555969</v>
      </c>
      <c r="J110" s="137">
        <v>95.039246761647007</v>
      </c>
      <c r="K110" s="137">
        <v>95.200331492828454</v>
      </c>
      <c r="L110" s="137">
        <v>94.667167430443996</v>
      </c>
      <c r="M110" s="137">
        <v>95.251782969843518</v>
      </c>
      <c r="N110" s="137">
        <v>96.50976092946496</v>
      </c>
      <c r="O110" s="114">
        <v>98.368750000000006</v>
      </c>
      <c r="Q110" s="115" t="s">
        <v>270</v>
      </c>
      <c r="R110" s="87" t="str">
        <f t="shared" si="10"/>
        <v>.</v>
      </c>
      <c r="S110" s="87" t="str">
        <f t="shared" si="11"/>
        <v>.</v>
      </c>
      <c r="U110" s="171"/>
      <c r="W110" s="158" t="s">
        <v>253</v>
      </c>
      <c r="X110" s="163" t="s">
        <v>261</v>
      </c>
    </row>
    <row r="111" spans="2:24" ht="20.25" customHeight="1" thickTop="1">
      <c r="B111" s="116" t="s">
        <v>155</v>
      </c>
      <c r="C111" s="142" t="s">
        <v>6</v>
      </c>
      <c r="D111" s="138" t="s">
        <v>271</v>
      </c>
      <c r="E111" s="118">
        <f t="shared" ref="E111:E142" si="16">RANK(H111,$Q$8:$Q$238)</f>
        <v>86</v>
      </c>
      <c r="F111" s="118">
        <f t="shared" ref="F111:F142" si="17">IF(D111="4급",RANK(H111,$R$8:$R$238),IF(D111="5급",RANK(H111,$S$8:$S$238),"-"))</f>
        <v>12</v>
      </c>
      <c r="G111" s="138">
        <f>RANK(H111,$H$111:$H$142)</f>
        <v>17</v>
      </c>
      <c r="H111" s="119">
        <f t="array" ref="H111">SUMPRODUCT($J$3:$O$3,J111:O111)/SUM(($J$3:$O$3)*(J111:O111&lt;&gt;"."))</f>
        <v>95.923016361142075</v>
      </c>
      <c r="I111" s="120">
        <f t="array" ref="I111">SUMPRODUCT($J$3:$N$3,J111:N111)/SUM(($J$3:$N$3)*(J111:N111&lt;&gt;"."))</f>
        <v>95.70843827488639</v>
      </c>
      <c r="J111" s="139">
        <v>95.063278063655389</v>
      </c>
      <c r="K111" s="139">
        <v>94.179213483146057</v>
      </c>
      <c r="L111" s="139">
        <v>96.148636363636371</v>
      </c>
      <c r="M111" s="139">
        <v>95.967422881102124</v>
      </c>
      <c r="N111" s="139">
        <v>96.35359848611742</v>
      </c>
      <c r="O111" s="124">
        <v>100</v>
      </c>
      <c r="Q111" s="115">
        <f t="shared" ref="Q111:Q142" si="18">H111</f>
        <v>95.923016361142075</v>
      </c>
      <c r="R111" s="87">
        <f t="shared" si="10"/>
        <v>95.923016361142075</v>
      </c>
      <c r="S111" s="87" t="str">
        <f t="shared" si="11"/>
        <v>.</v>
      </c>
      <c r="U111" s="172">
        <f>VLOOKUP(C111,$W$110:$X$145,2,0)</f>
        <v>94.07</v>
      </c>
      <c r="V111" s="168"/>
      <c r="W111" s="159" t="s">
        <v>0</v>
      </c>
      <c r="X111" s="164">
        <v>93.311679207099658</v>
      </c>
    </row>
    <row r="112" spans="2:24" ht="20.25" customHeight="1">
      <c r="B112" s="125"/>
      <c r="C112" s="142" t="s">
        <v>0</v>
      </c>
      <c r="D112" s="138" t="s">
        <v>271</v>
      </c>
      <c r="E112" s="118">
        <f t="shared" si="16"/>
        <v>100</v>
      </c>
      <c r="F112" s="118">
        <f t="shared" si="17"/>
        <v>19</v>
      </c>
      <c r="G112" s="138">
        <f t="shared" ref="G112:G142" si="19">RANK(H112,$H$111:$H$142)</f>
        <v>20</v>
      </c>
      <c r="H112" s="119">
        <f t="array" ref="H112">SUMPRODUCT($J$3:$O$3,J112:O112)/SUM(($J$3:$O$3)*(J112:O112&lt;&gt;"."))</f>
        <v>95.638326321983982</v>
      </c>
      <c r="I112" s="120">
        <f t="array" ref="I112">SUMPRODUCT($J$3:$N$3,J112:N112)/SUM(($J$3:$N$3)*(J112:N112&lt;&gt;"."))</f>
        <v>95.461396128404189</v>
      </c>
      <c r="J112" s="139">
        <v>94.819162205583311</v>
      </c>
      <c r="K112" s="139">
        <v>93.913095628466493</v>
      </c>
      <c r="L112" s="139">
        <v>97.239673913043475</v>
      </c>
      <c r="M112" s="139">
        <v>94.3</v>
      </c>
      <c r="N112" s="139">
        <v>96.103630051225068</v>
      </c>
      <c r="O112" s="124">
        <v>99</v>
      </c>
      <c r="Q112" s="115">
        <f t="shared" si="18"/>
        <v>95.638326321983982</v>
      </c>
      <c r="R112" s="87">
        <f t="shared" si="10"/>
        <v>95.638326321983982</v>
      </c>
      <c r="S112" s="87" t="str">
        <f t="shared" si="11"/>
        <v>.</v>
      </c>
      <c r="U112" s="172">
        <f t="shared" ref="U112:U142" si="20">VLOOKUP(C112,$W$110:$X$145,2,0)</f>
        <v>93.311679207099658</v>
      </c>
      <c r="V112" s="168"/>
      <c r="W112" s="160" t="s">
        <v>1</v>
      </c>
      <c r="X112" s="165">
        <v>92.858965354330678</v>
      </c>
    </row>
    <row r="113" spans="2:24" ht="20.25" customHeight="1">
      <c r="B113" s="125"/>
      <c r="C113" s="142" t="s">
        <v>3</v>
      </c>
      <c r="D113" s="138" t="s">
        <v>271</v>
      </c>
      <c r="E113" s="118">
        <f t="shared" si="16"/>
        <v>103</v>
      </c>
      <c r="F113" s="118">
        <f t="shared" si="17"/>
        <v>21</v>
      </c>
      <c r="G113" s="138">
        <f t="shared" si="19"/>
        <v>22</v>
      </c>
      <c r="H113" s="119">
        <f t="array" ref="H113">SUMPRODUCT($J$3:$O$3,J113:O113)/SUM(($J$3:$O$3)*(J113:O113&lt;&gt;"."))</f>
        <v>95.621019441037745</v>
      </c>
      <c r="I113" s="120">
        <f t="array" ref="I113">SUMPRODUCT($J$3:$N$3,J113:N113)/SUM(($J$3:$N$3)*(J113:N113&lt;&gt;"."))</f>
        <v>95.516862569513421</v>
      </c>
      <c r="J113" s="139">
        <v>94.527127916331438</v>
      </c>
      <c r="K113" s="139">
        <v>94.63666666666667</v>
      </c>
      <c r="L113" s="139">
        <v>95.411335861778355</v>
      </c>
      <c r="M113" s="139">
        <v>91.825000000000003</v>
      </c>
      <c r="N113" s="139">
        <v>96.50659722269539</v>
      </c>
      <c r="O113" s="124">
        <v>97.6</v>
      </c>
      <c r="Q113" s="115">
        <f t="shared" si="18"/>
        <v>95.621019441037745</v>
      </c>
      <c r="R113" s="87">
        <f t="shared" si="10"/>
        <v>95.621019441037745</v>
      </c>
      <c r="S113" s="87" t="str">
        <f t="shared" si="11"/>
        <v>.</v>
      </c>
      <c r="U113" s="172">
        <f t="shared" si="20"/>
        <v>92.778211667058173</v>
      </c>
      <c r="V113" s="168"/>
      <c r="W113" s="160" t="s">
        <v>2</v>
      </c>
      <c r="X113" s="165">
        <v>93.534345876808629</v>
      </c>
    </row>
    <row r="114" spans="2:24" ht="20.25" customHeight="1">
      <c r="B114" s="125"/>
      <c r="C114" s="142" t="s">
        <v>4</v>
      </c>
      <c r="D114" s="138" t="s">
        <v>271</v>
      </c>
      <c r="E114" s="118">
        <f t="shared" si="16"/>
        <v>107</v>
      </c>
      <c r="F114" s="118">
        <f t="shared" si="17"/>
        <v>23</v>
      </c>
      <c r="G114" s="138">
        <f t="shared" si="19"/>
        <v>23</v>
      </c>
      <c r="H114" s="119">
        <f t="array" ref="H114">SUMPRODUCT($J$3:$O$3,J114:O114)/SUM(($J$3:$O$3)*(J114:O114&lt;&gt;"."))</f>
        <v>95.519869022300057</v>
      </c>
      <c r="I114" s="120">
        <f t="array" ref="I114">SUMPRODUCT($J$3:$N$3,J114:N114)/SUM(($J$3:$N$3)*(J114:N114&lt;&gt;"."))</f>
        <v>95.284072655052697</v>
      </c>
      <c r="J114" s="139">
        <v>93.620039249083604</v>
      </c>
      <c r="K114" s="139">
        <v>93.722992700729918</v>
      </c>
      <c r="L114" s="139">
        <v>93.116748385553677</v>
      </c>
      <c r="M114" s="139">
        <v>94.446428571428569</v>
      </c>
      <c r="N114" s="139">
        <v>96.94810606102179</v>
      </c>
      <c r="O114" s="124">
        <v>100</v>
      </c>
      <c r="Q114" s="115">
        <f t="shared" si="18"/>
        <v>95.519869022300057</v>
      </c>
      <c r="R114" s="87">
        <f t="shared" si="10"/>
        <v>95.519869022300057</v>
      </c>
      <c r="S114" s="87" t="str">
        <f t="shared" si="11"/>
        <v>.</v>
      </c>
      <c r="U114" s="172">
        <f t="shared" si="20"/>
        <v>92.076079277817001</v>
      </c>
      <c r="V114" s="168"/>
      <c r="W114" s="160" t="s">
        <v>3</v>
      </c>
      <c r="X114" s="165">
        <v>92.778211667058173</v>
      </c>
    </row>
    <row r="115" spans="2:24" ht="20.25" customHeight="1">
      <c r="B115" s="125"/>
      <c r="C115" s="142" t="s">
        <v>2</v>
      </c>
      <c r="D115" s="138" t="s">
        <v>271</v>
      </c>
      <c r="E115" s="118">
        <f t="shared" si="16"/>
        <v>189</v>
      </c>
      <c r="F115" s="118">
        <f t="shared" si="17"/>
        <v>84</v>
      </c>
      <c r="G115" s="138">
        <f t="shared" si="19"/>
        <v>32</v>
      </c>
      <c r="H115" s="119">
        <f t="array" ref="H115">SUMPRODUCT($J$3:$O$3,J115:O115)/SUM(($J$3:$O$3)*(J115:O115&lt;&gt;"."))</f>
        <v>93.924277269474544</v>
      </c>
      <c r="I115" s="120">
        <f t="array" ref="I115">SUMPRODUCT($J$3:$N$3,J115:N115)/SUM(($J$3:$N$3)*(J115:N115&lt;&gt;"."))</f>
        <v>93.630818178394264</v>
      </c>
      <c r="J115" s="139">
        <v>93.608385093167669</v>
      </c>
      <c r="K115" s="139">
        <v>93.321910112359532</v>
      </c>
      <c r="L115" s="139">
        <v>94.352941176470566</v>
      </c>
      <c r="M115" s="139">
        <v>93.014285714285705</v>
      </c>
      <c r="N115" s="139">
        <v>93.653251263620874</v>
      </c>
      <c r="O115" s="124">
        <v>99.5</v>
      </c>
      <c r="Q115" s="115">
        <f t="shared" si="18"/>
        <v>93.924277269474544</v>
      </c>
      <c r="R115" s="87">
        <f t="shared" si="10"/>
        <v>93.924277269474544</v>
      </c>
      <c r="S115" s="87" t="str">
        <f t="shared" si="11"/>
        <v>.</v>
      </c>
      <c r="U115" s="172">
        <f t="shared" si="20"/>
        <v>93.534345876808629</v>
      </c>
      <c r="V115" s="168"/>
      <c r="W115" s="160" t="s">
        <v>4</v>
      </c>
      <c r="X115" s="165">
        <v>92.076079277817001</v>
      </c>
    </row>
    <row r="116" spans="2:24" ht="20.25" customHeight="1">
      <c r="B116" s="125"/>
      <c r="C116" s="142" t="s">
        <v>1</v>
      </c>
      <c r="D116" s="138" t="s">
        <v>271</v>
      </c>
      <c r="E116" s="118">
        <f t="shared" si="16"/>
        <v>116</v>
      </c>
      <c r="F116" s="118">
        <f t="shared" si="17"/>
        <v>26</v>
      </c>
      <c r="G116" s="138">
        <f t="shared" si="19"/>
        <v>27</v>
      </c>
      <c r="H116" s="119">
        <f t="array" ref="H116">SUMPRODUCT($J$3:$O$3,J116:O116)/SUM(($J$3:$O$3)*(J116:O116&lt;&gt;"."))</f>
        <v>95.30045259795348</v>
      </c>
      <c r="I116" s="120">
        <f t="array" ref="I116">SUMPRODUCT($J$3:$N$3,J116:N116)/SUM(($J$3:$N$3)*(J116:N116&lt;&gt;"."))</f>
        <v>95.079423787319456</v>
      </c>
      <c r="J116" s="139">
        <v>93.616139240506314</v>
      </c>
      <c r="K116" s="139">
        <v>95.536290322580641</v>
      </c>
      <c r="L116" s="139">
        <v>90.758695652173898</v>
      </c>
      <c r="M116" s="139">
        <v>91.135526315789463</v>
      </c>
      <c r="N116" s="139">
        <v>96.54270833413257</v>
      </c>
      <c r="O116" s="124">
        <v>99.5</v>
      </c>
      <c r="Q116" s="115">
        <f t="shared" si="18"/>
        <v>95.30045259795348</v>
      </c>
      <c r="R116" s="87">
        <f t="shared" si="10"/>
        <v>95.30045259795348</v>
      </c>
      <c r="S116" s="87" t="str">
        <f t="shared" si="11"/>
        <v>.</v>
      </c>
      <c r="U116" s="172">
        <f t="shared" si="20"/>
        <v>92.858965354330678</v>
      </c>
      <c r="V116" s="168"/>
      <c r="W116" s="160" t="s">
        <v>5</v>
      </c>
      <c r="X116" s="165">
        <v>92.531359623709847</v>
      </c>
    </row>
    <row r="117" spans="2:24" ht="20.25" customHeight="1">
      <c r="B117" s="125"/>
      <c r="C117" s="142" t="s">
        <v>8</v>
      </c>
      <c r="D117" s="138" t="s">
        <v>271</v>
      </c>
      <c r="E117" s="118">
        <f t="shared" si="16"/>
        <v>163</v>
      </c>
      <c r="F117" s="118">
        <f t="shared" si="17"/>
        <v>62</v>
      </c>
      <c r="G117" s="138">
        <f t="shared" si="19"/>
        <v>30</v>
      </c>
      <c r="H117" s="119">
        <f t="array" ref="H117">SUMPRODUCT($J$3:$O$3,J117:O117)/SUM(($J$3:$O$3)*(J117:O117&lt;&gt;"."))</f>
        <v>94.46436171960562</v>
      </c>
      <c r="I117" s="120">
        <f t="array" ref="I117">SUMPRODUCT($J$3:$N$3,J117:N117)/SUM(($J$3:$N$3)*(J117:N117&lt;&gt;"."))</f>
        <v>94.294064968005912</v>
      </c>
      <c r="J117" s="139">
        <v>93.899840793602138</v>
      </c>
      <c r="K117" s="139">
        <v>94.560593074501568</v>
      </c>
      <c r="L117" s="139">
        <v>91.843958947885938</v>
      </c>
      <c r="M117" s="139">
        <v>96.236607142857139</v>
      </c>
      <c r="N117" s="139">
        <v>94.688289142409715</v>
      </c>
      <c r="O117" s="124">
        <v>97.7</v>
      </c>
      <c r="Q117" s="115">
        <f t="shared" si="18"/>
        <v>94.46436171960562</v>
      </c>
      <c r="R117" s="87">
        <f t="shared" si="10"/>
        <v>94.46436171960562</v>
      </c>
      <c r="S117" s="87" t="str">
        <f t="shared" si="11"/>
        <v>.</v>
      </c>
      <c r="U117" s="172">
        <f t="shared" si="20"/>
        <v>93.366279142045755</v>
      </c>
      <c r="V117" s="168"/>
      <c r="W117" s="160" t="s">
        <v>12</v>
      </c>
      <c r="X117" s="165">
        <v>93.127835276033281</v>
      </c>
    </row>
    <row r="118" spans="2:24" ht="20.25" customHeight="1">
      <c r="B118" s="125"/>
      <c r="C118" s="142" t="s">
        <v>11</v>
      </c>
      <c r="D118" s="138" t="s">
        <v>271</v>
      </c>
      <c r="E118" s="118">
        <f t="shared" si="16"/>
        <v>60</v>
      </c>
      <c r="F118" s="118">
        <f t="shared" si="17"/>
        <v>6</v>
      </c>
      <c r="G118" s="138">
        <f t="shared" si="19"/>
        <v>13</v>
      </c>
      <c r="H118" s="119">
        <f t="array" ref="H118">SUMPRODUCT($J$3:$O$3,J118:O118)/SUM(($J$3:$O$3)*(J118:O118&lt;&gt;"."))</f>
        <v>96.344324677046458</v>
      </c>
      <c r="I118" s="120">
        <f t="array" ref="I118">SUMPRODUCT($J$3:$N$3,J118:N118)/SUM(($J$3:$N$3)*(J118:N118&lt;&gt;"."))</f>
        <v>96.172973344259432</v>
      </c>
      <c r="J118" s="139">
        <v>94.860940375010955</v>
      </c>
      <c r="K118" s="139">
        <v>94.573165137614666</v>
      </c>
      <c r="L118" s="139">
        <v>95.06395456346587</v>
      </c>
      <c r="M118" s="139">
        <v>95.544230769230751</v>
      </c>
      <c r="N118" s="139">
        <v>97.485006313507881</v>
      </c>
      <c r="O118" s="124">
        <v>99.6</v>
      </c>
      <c r="Q118" s="115">
        <f t="shared" si="18"/>
        <v>96.344324677046458</v>
      </c>
      <c r="R118" s="87">
        <f t="shared" si="10"/>
        <v>96.344324677046458</v>
      </c>
      <c r="S118" s="87" t="str">
        <f t="shared" si="11"/>
        <v>.</v>
      </c>
      <c r="U118" s="172">
        <f t="shared" si="20"/>
        <v>93.54505468250133</v>
      </c>
      <c r="V118" s="168"/>
      <c r="W118" s="160" t="s">
        <v>6</v>
      </c>
      <c r="X118" s="165">
        <v>94.07</v>
      </c>
    </row>
    <row r="119" spans="2:24" ht="20.25" customHeight="1">
      <c r="B119" s="125"/>
      <c r="C119" s="142" t="s">
        <v>10</v>
      </c>
      <c r="D119" s="138" t="s">
        <v>271</v>
      </c>
      <c r="E119" s="118">
        <f t="shared" si="16"/>
        <v>74</v>
      </c>
      <c r="F119" s="118">
        <f t="shared" si="17"/>
        <v>8</v>
      </c>
      <c r="G119" s="138">
        <f t="shared" si="19"/>
        <v>14</v>
      </c>
      <c r="H119" s="119">
        <f t="array" ref="H119">SUMPRODUCT($J$3:$O$3,J119:O119)/SUM(($J$3:$O$3)*(J119:O119&lt;&gt;"."))</f>
        <v>96.092395063176156</v>
      </c>
      <c r="I119" s="120">
        <f t="array" ref="I119">SUMPRODUCT($J$3:$N$3,J119:N119)/SUM(($J$3:$N$3)*(J119:N119&lt;&gt;"."))</f>
        <v>95.939363224395947</v>
      </c>
      <c r="J119" s="139">
        <v>95.066668367952261</v>
      </c>
      <c r="K119" s="139">
        <v>96.554394654610746</v>
      </c>
      <c r="L119" s="139">
        <v>94.059166232864811</v>
      </c>
      <c r="M119" s="139">
        <v>90.56527777777778</v>
      </c>
      <c r="N119" s="139">
        <v>96.812058080839634</v>
      </c>
      <c r="O119" s="124">
        <v>99</v>
      </c>
      <c r="Q119" s="115">
        <f t="shared" si="18"/>
        <v>96.092395063176156</v>
      </c>
      <c r="R119" s="87">
        <f t="shared" si="10"/>
        <v>96.092395063176156</v>
      </c>
      <c r="S119" s="87" t="str">
        <f t="shared" si="11"/>
        <v>.</v>
      </c>
      <c r="U119" s="172">
        <f t="shared" si="20"/>
        <v>94.074063592198399</v>
      </c>
      <c r="V119" s="168"/>
      <c r="W119" s="160" t="s">
        <v>11</v>
      </c>
      <c r="X119" s="165">
        <v>93.54505468250133</v>
      </c>
    </row>
    <row r="120" spans="2:24" ht="20.25" customHeight="1">
      <c r="B120" s="125"/>
      <c r="C120" s="142" t="s">
        <v>12</v>
      </c>
      <c r="D120" s="138" t="s">
        <v>271</v>
      </c>
      <c r="E120" s="118">
        <f t="shared" si="16"/>
        <v>109</v>
      </c>
      <c r="F120" s="118">
        <f t="shared" si="17"/>
        <v>25</v>
      </c>
      <c r="G120" s="138">
        <f t="shared" si="19"/>
        <v>24</v>
      </c>
      <c r="H120" s="119">
        <f t="array" ref="H120">SUMPRODUCT($J$3:$O$3,J120:O120)/SUM(($J$3:$O$3)*(J120:O120&lt;&gt;"."))</f>
        <v>95.426797100156037</v>
      </c>
      <c r="I120" s="120">
        <f t="array" ref="I120">SUMPRODUCT($J$3:$N$3,J120:N120)/SUM(($J$3:$N$3)*(J120:N120&lt;&gt;"."))</f>
        <v>95.254523263322142</v>
      </c>
      <c r="J120" s="139">
        <v>94.777070515449836</v>
      </c>
      <c r="K120" s="139">
        <v>94.53356481481481</v>
      </c>
      <c r="L120" s="139">
        <v>95.703181818181818</v>
      </c>
      <c r="M120" s="139">
        <v>93.603855944893681</v>
      </c>
      <c r="N120" s="139">
        <v>95.731976011194419</v>
      </c>
      <c r="O120" s="124">
        <v>98.7</v>
      </c>
      <c r="Q120" s="115">
        <f t="shared" si="18"/>
        <v>95.426797100156037</v>
      </c>
      <c r="R120" s="87">
        <f t="shared" si="10"/>
        <v>95.426797100156037</v>
      </c>
      <c r="S120" s="87" t="str">
        <f t="shared" si="11"/>
        <v>.</v>
      </c>
      <c r="U120" s="172">
        <f t="shared" si="20"/>
        <v>93.127835276033281</v>
      </c>
      <c r="V120" s="168"/>
      <c r="W120" s="160" t="s">
        <v>17</v>
      </c>
      <c r="X120" s="165">
        <v>94.058535432791032</v>
      </c>
    </row>
    <row r="121" spans="2:24" ht="20.25" customHeight="1">
      <c r="B121" s="125"/>
      <c r="C121" s="142" t="s">
        <v>5</v>
      </c>
      <c r="D121" s="138" t="s">
        <v>271</v>
      </c>
      <c r="E121" s="118">
        <f t="shared" si="16"/>
        <v>139</v>
      </c>
      <c r="F121" s="118">
        <f t="shared" si="17"/>
        <v>45</v>
      </c>
      <c r="G121" s="138">
        <f t="shared" si="19"/>
        <v>29</v>
      </c>
      <c r="H121" s="119">
        <f t="array" ref="H121">SUMPRODUCT($J$3:$O$3,J121:O121)/SUM(($J$3:$O$3)*(J121:O121&lt;&gt;"."))</f>
        <v>94.906361573991731</v>
      </c>
      <c r="I121" s="120">
        <f t="array" ref="I121">SUMPRODUCT($J$3:$N$3,J121:N121)/SUM(($J$3:$N$3)*(J121:N121&lt;&gt;"."))</f>
        <v>94.680380604201815</v>
      </c>
      <c r="J121" s="139">
        <v>93.871051611653016</v>
      </c>
      <c r="K121" s="139">
        <v>93.446753246753246</v>
      </c>
      <c r="L121" s="139">
        <v>93.978787399915717</v>
      </c>
      <c r="M121" s="139">
        <v>95.434722222222234</v>
      </c>
      <c r="N121" s="139">
        <v>95.489709596750615</v>
      </c>
      <c r="O121" s="124">
        <v>99.2</v>
      </c>
      <c r="Q121" s="115">
        <f t="shared" si="18"/>
        <v>94.906361573991731</v>
      </c>
      <c r="R121" s="87">
        <f t="shared" si="10"/>
        <v>94.906361573991731</v>
      </c>
      <c r="S121" s="87" t="str">
        <f t="shared" si="11"/>
        <v>.</v>
      </c>
      <c r="U121" s="172">
        <f t="shared" si="20"/>
        <v>92.531359623709847</v>
      </c>
      <c r="V121" s="168"/>
      <c r="W121" s="160" t="s">
        <v>7</v>
      </c>
      <c r="X121" s="165">
        <v>93.947698359771579</v>
      </c>
    </row>
    <row r="122" spans="2:24" ht="20.25" customHeight="1">
      <c r="B122" s="125"/>
      <c r="C122" s="142" t="s">
        <v>7</v>
      </c>
      <c r="D122" s="138" t="s">
        <v>271</v>
      </c>
      <c r="E122" s="118">
        <f t="shared" si="16"/>
        <v>167</v>
      </c>
      <c r="F122" s="118">
        <f t="shared" si="17"/>
        <v>65</v>
      </c>
      <c r="G122" s="138">
        <f t="shared" si="19"/>
        <v>31</v>
      </c>
      <c r="H122" s="119">
        <f t="array" ref="H122">SUMPRODUCT($J$3:$O$3,J122:O122)/SUM(($J$3:$O$3)*(J122:O122&lt;&gt;"."))</f>
        <v>94.407836393756412</v>
      </c>
      <c r="I122" s="120">
        <f t="array" ref="I122">SUMPRODUCT($J$3:$N$3,J122:N122)/SUM(($J$3:$N$3)*(J122:N122&lt;&gt;"."))</f>
        <v>94.176669888164639</v>
      </c>
      <c r="J122" s="139">
        <v>94.161830936573921</v>
      </c>
      <c r="K122" s="139">
        <v>94.663495575221219</v>
      </c>
      <c r="L122" s="139">
        <v>92.723437499999989</v>
      </c>
      <c r="M122" s="139">
        <v>95.576593967517397</v>
      </c>
      <c r="N122" s="139">
        <v>94.191508839755357</v>
      </c>
      <c r="O122" s="124">
        <v>98.8</v>
      </c>
      <c r="Q122" s="115">
        <f t="shared" si="18"/>
        <v>94.407836393756412</v>
      </c>
      <c r="R122" s="87">
        <f t="shared" si="10"/>
        <v>94.407836393756412</v>
      </c>
      <c r="S122" s="87" t="str">
        <f t="shared" si="11"/>
        <v>.</v>
      </c>
      <c r="U122" s="172">
        <f t="shared" si="20"/>
        <v>93.947698359771579</v>
      </c>
      <c r="V122" s="168"/>
      <c r="W122" s="160" t="s">
        <v>8</v>
      </c>
      <c r="X122" s="165">
        <v>93.366279142045755</v>
      </c>
    </row>
    <row r="123" spans="2:24" ht="20.25" customHeight="1">
      <c r="B123" s="125"/>
      <c r="C123" s="142" t="s">
        <v>9</v>
      </c>
      <c r="D123" s="138" t="s">
        <v>271</v>
      </c>
      <c r="E123" s="118">
        <f t="shared" si="16"/>
        <v>77</v>
      </c>
      <c r="F123" s="118">
        <f t="shared" si="17"/>
        <v>10</v>
      </c>
      <c r="G123" s="138">
        <f t="shared" si="19"/>
        <v>15</v>
      </c>
      <c r="H123" s="119">
        <f t="array" ref="H123">SUMPRODUCT($J$3:$O$3,J123:O123)/SUM(($J$3:$O$3)*(J123:O123&lt;&gt;"."))</f>
        <v>96.066275648606492</v>
      </c>
      <c r="I123" s="120">
        <f t="array" ref="I123">SUMPRODUCT($J$3:$N$3,J123:N123)/SUM(($J$3:$N$3)*(J123:N123&lt;&gt;"."))</f>
        <v>95.901342788006843</v>
      </c>
      <c r="J123" s="139">
        <v>94.589680525504534</v>
      </c>
      <c r="K123" s="139">
        <v>94.237610619469024</v>
      </c>
      <c r="L123" s="139">
        <v>94.992279913453075</v>
      </c>
      <c r="M123" s="139">
        <v>94.93214285714285</v>
      </c>
      <c r="N123" s="139">
        <v>97.213005050509139</v>
      </c>
      <c r="O123" s="124">
        <v>99.2</v>
      </c>
      <c r="Q123" s="115">
        <f t="shared" si="18"/>
        <v>96.066275648606492</v>
      </c>
      <c r="R123" s="87">
        <f t="shared" si="10"/>
        <v>96.066275648606492</v>
      </c>
      <c r="S123" s="87" t="str">
        <f t="shared" si="11"/>
        <v>.</v>
      </c>
      <c r="U123" s="172">
        <f t="shared" si="20"/>
        <v>94.074063592198399</v>
      </c>
      <c r="V123" s="168"/>
      <c r="W123" s="160" t="s">
        <v>9</v>
      </c>
      <c r="X123" s="165">
        <v>94.074063592198399</v>
      </c>
    </row>
    <row r="124" spans="2:24" ht="20.25" customHeight="1">
      <c r="B124" s="125"/>
      <c r="C124" s="142" t="s">
        <v>17</v>
      </c>
      <c r="D124" s="138" t="s">
        <v>271</v>
      </c>
      <c r="E124" s="118">
        <f t="shared" si="16"/>
        <v>93</v>
      </c>
      <c r="F124" s="118">
        <f t="shared" si="17"/>
        <v>17</v>
      </c>
      <c r="G124" s="138">
        <f t="shared" si="19"/>
        <v>19</v>
      </c>
      <c r="H124" s="119">
        <f t="array" ref="H124">SUMPRODUCT($J$3:$O$3,J124:O124)/SUM(($J$3:$O$3)*(J124:O124&lt;&gt;"."))</f>
        <v>95.783561458477848</v>
      </c>
      <c r="I124" s="120">
        <f t="array" ref="I124">SUMPRODUCT($J$3:$N$3,J124:N124)/SUM(($J$3:$N$3)*(J124:N124&lt;&gt;"."))</f>
        <v>95.745854166818788</v>
      </c>
      <c r="J124" s="139">
        <v>94.687888888888892</v>
      </c>
      <c r="K124" s="139">
        <v>95.145661157024776</v>
      </c>
      <c r="L124" s="139">
        <v>93.804333333333332</v>
      </c>
      <c r="M124" s="139">
        <v>95.062931034482759</v>
      </c>
      <c r="N124" s="139">
        <v>96.803819444748711</v>
      </c>
      <c r="O124" s="124">
        <v>96.5</v>
      </c>
      <c r="Q124" s="115">
        <f t="shared" si="18"/>
        <v>95.783561458477848</v>
      </c>
      <c r="R124" s="87">
        <f t="shared" si="10"/>
        <v>95.783561458477848</v>
      </c>
      <c r="S124" s="87" t="str">
        <f t="shared" si="11"/>
        <v>.</v>
      </c>
      <c r="U124" s="172">
        <f t="shared" si="20"/>
        <v>94.058535432791032</v>
      </c>
      <c r="V124" s="168"/>
      <c r="W124" s="160" t="s">
        <v>10</v>
      </c>
      <c r="X124" s="165">
        <v>94.074063592198399</v>
      </c>
    </row>
    <row r="125" spans="2:24" ht="20.25" customHeight="1">
      <c r="B125" s="125"/>
      <c r="C125" s="142" t="s">
        <v>26</v>
      </c>
      <c r="D125" s="138" t="s">
        <v>274</v>
      </c>
      <c r="E125" s="118">
        <f t="shared" si="16"/>
        <v>57</v>
      </c>
      <c r="F125" s="118">
        <f t="shared" si="17"/>
        <v>54</v>
      </c>
      <c r="G125" s="138">
        <f t="shared" si="19"/>
        <v>12</v>
      </c>
      <c r="H125" s="119">
        <f t="array" ref="H125">SUMPRODUCT($J$3:$O$3,J125:O125)/SUM(($J$3:$O$3)*(J125:O125&lt;&gt;"."))</f>
        <v>96.400918344126936</v>
      </c>
      <c r="I125" s="120">
        <f t="array" ref="I125">SUMPRODUCT($J$3:$N$3,J125:N125)/SUM(($J$3:$N$3)*(J125:N125&lt;&gt;"."))</f>
        <v>96.211492993817828</v>
      </c>
      <c r="J125" s="139">
        <v>96.80257352941176</v>
      </c>
      <c r="K125" s="139">
        <v>97.969642857142858</v>
      </c>
      <c r="L125" s="139">
        <v>96.975531914893608</v>
      </c>
      <c r="M125" s="139">
        <v>92.075000000000003</v>
      </c>
      <c r="N125" s="139">
        <v>95.620412458223882</v>
      </c>
      <c r="O125" s="124">
        <v>100</v>
      </c>
      <c r="Q125" s="115">
        <f t="shared" si="18"/>
        <v>96.400918344126936</v>
      </c>
      <c r="R125" s="87" t="str">
        <f t="shared" si="10"/>
        <v>.</v>
      </c>
      <c r="S125" s="87">
        <f t="shared" si="11"/>
        <v>96.400918344126936</v>
      </c>
      <c r="U125" s="172">
        <f t="shared" si="20"/>
        <v>95.376523675943275</v>
      </c>
      <c r="V125" s="168"/>
      <c r="W125" s="161" t="s">
        <v>35</v>
      </c>
      <c r="X125" s="166">
        <v>93.382440791740265</v>
      </c>
    </row>
    <row r="126" spans="2:24" ht="20.25" customHeight="1">
      <c r="B126" s="125"/>
      <c r="C126" s="142" t="s">
        <v>14</v>
      </c>
      <c r="D126" s="138" t="s">
        <v>274</v>
      </c>
      <c r="E126" s="118">
        <f t="shared" si="16"/>
        <v>88</v>
      </c>
      <c r="F126" s="118">
        <f t="shared" si="17"/>
        <v>75</v>
      </c>
      <c r="G126" s="138">
        <f t="shared" si="19"/>
        <v>18</v>
      </c>
      <c r="H126" s="119">
        <f t="array" ref="H126">SUMPRODUCT($J$3:$O$3,J126:O126)/SUM(($J$3:$O$3)*(J126:O126&lt;&gt;"."))</f>
        <v>95.870986667813995</v>
      </c>
      <c r="I126" s="120">
        <f t="array" ref="I126">SUMPRODUCT($J$3:$N$3,J126:N126)/SUM(($J$3:$N$3)*(J126:N126&lt;&gt;"."))</f>
        <v>95.706301755593685</v>
      </c>
      <c r="J126" s="139">
        <v>95.672241557102353</v>
      </c>
      <c r="K126" s="139">
        <v>95.26814516129032</v>
      </c>
      <c r="L126" s="139">
        <v>95.853378378378366</v>
      </c>
      <c r="M126" s="139">
        <v>96.691792343387476</v>
      </c>
      <c r="N126" s="139">
        <v>95.740361954085017</v>
      </c>
      <c r="O126" s="124">
        <v>99</v>
      </c>
      <c r="Q126" s="115">
        <f t="shared" si="18"/>
        <v>95.870986667813995</v>
      </c>
      <c r="R126" s="87" t="str">
        <f t="shared" si="10"/>
        <v>.</v>
      </c>
      <c r="S126" s="87">
        <f t="shared" si="11"/>
        <v>95.870986667813995</v>
      </c>
      <c r="U126" s="172">
        <f t="shared" si="20"/>
        <v>95.103710238890187</v>
      </c>
      <c r="V126" s="168"/>
      <c r="W126" s="160" t="s">
        <v>13</v>
      </c>
      <c r="X126" s="165">
        <v>94.036741287973499</v>
      </c>
    </row>
    <row r="127" spans="2:24" ht="20.25" customHeight="1">
      <c r="B127" s="125"/>
      <c r="C127" s="142" t="s">
        <v>25</v>
      </c>
      <c r="D127" s="138" t="s">
        <v>274</v>
      </c>
      <c r="E127" s="118">
        <f t="shared" si="16"/>
        <v>20</v>
      </c>
      <c r="F127" s="118">
        <f t="shared" si="17"/>
        <v>20</v>
      </c>
      <c r="G127" s="138">
        <f t="shared" si="19"/>
        <v>4</v>
      </c>
      <c r="H127" s="119">
        <f t="array" ref="H127">SUMPRODUCT($J$3:$O$3,J127:O127)/SUM(($J$3:$O$3)*(J127:O127&lt;&gt;"."))</f>
        <v>97.292959806436684</v>
      </c>
      <c r="I127" s="120">
        <f t="array" ref="I127">SUMPRODUCT($J$3:$N$3,J127:N127)/SUM(($J$3:$N$3)*(J127:N127&lt;&gt;"."))</f>
        <v>97.150484006775457</v>
      </c>
      <c r="J127" s="139">
        <v>96.831818181818178</v>
      </c>
      <c r="K127" s="139">
        <v>97.144565217391303</v>
      </c>
      <c r="L127" s="139">
        <v>95.80119047619047</v>
      </c>
      <c r="M127" s="139">
        <v>97.557500000000005</v>
      </c>
      <c r="N127" s="139">
        <v>97.469149831732736</v>
      </c>
      <c r="O127" s="124">
        <v>100</v>
      </c>
      <c r="Q127" s="115">
        <f t="shared" si="18"/>
        <v>97.292959806436684</v>
      </c>
      <c r="R127" s="87" t="str">
        <f t="shared" si="10"/>
        <v>.</v>
      </c>
      <c r="S127" s="87">
        <f t="shared" si="11"/>
        <v>97.292959806436684</v>
      </c>
      <c r="U127" s="172">
        <f t="shared" si="20"/>
        <v>95.057682782449334</v>
      </c>
      <c r="V127" s="168"/>
      <c r="W127" s="160" t="s">
        <v>14</v>
      </c>
      <c r="X127" s="165">
        <v>95.103710238890187</v>
      </c>
    </row>
    <row r="128" spans="2:24" ht="20.25" customHeight="1">
      <c r="B128" s="125"/>
      <c r="C128" s="142" t="s">
        <v>19</v>
      </c>
      <c r="D128" s="138" t="s">
        <v>274</v>
      </c>
      <c r="E128" s="118">
        <f t="shared" si="16"/>
        <v>120</v>
      </c>
      <c r="F128" s="118">
        <f t="shared" si="17"/>
        <v>93</v>
      </c>
      <c r="G128" s="138">
        <f t="shared" si="19"/>
        <v>28</v>
      </c>
      <c r="H128" s="119">
        <f t="array" ref="H128">SUMPRODUCT($J$3:$O$3,J128:O128)/SUM(($J$3:$O$3)*(J128:O128&lt;&gt;"."))</f>
        <v>95.195787536887551</v>
      </c>
      <c r="I128" s="120">
        <f t="array" ref="I128">SUMPRODUCT($J$3:$N$3,J128:N128)/SUM(($J$3:$N$3)*(J128:N128&lt;&gt;"."))</f>
        <v>95.048197407250044</v>
      </c>
      <c r="J128" s="139">
        <v>94.46331400671346</v>
      </c>
      <c r="K128" s="139">
        <v>93.140189873417739</v>
      </c>
      <c r="L128" s="139">
        <v>95.694011799410049</v>
      </c>
      <c r="M128" s="139">
        <v>96.803571428571431</v>
      </c>
      <c r="N128" s="139">
        <v>95.633080807786612</v>
      </c>
      <c r="O128" s="124">
        <v>98</v>
      </c>
      <c r="Q128" s="115">
        <f t="shared" si="18"/>
        <v>95.195787536887551</v>
      </c>
      <c r="R128" s="87" t="str">
        <f t="shared" si="10"/>
        <v>.</v>
      </c>
      <c r="S128" s="87">
        <f t="shared" si="11"/>
        <v>95.195787536887551</v>
      </c>
      <c r="U128" s="172">
        <f t="shared" si="20"/>
        <v>93.413245756062736</v>
      </c>
      <c r="V128" s="168"/>
      <c r="W128" s="160" t="s">
        <v>15</v>
      </c>
      <c r="X128" s="165">
        <v>95.142559940341329</v>
      </c>
    </row>
    <row r="129" spans="2:24" ht="20.25" customHeight="1">
      <c r="B129" s="125"/>
      <c r="C129" s="142" t="s">
        <v>22</v>
      </c>
      <c r="D129" s="138" t="s">
        <v>274</v>
      </c>
      <c r="E129" s="118">
        <f t="shared" si="16"/>
        <v>11</v>
      </c>
      <c r="F129" s="118">
        <f t="shared" si="17"/>
        <v>11</v>
      </c>
      <c r="G129" s="138">
        <f t="shared" si="19"/>
        <v>3</v>
      </c>
      <c r="H129" s="119">
        <f t="array" ref="H129">SUMPRODUCT($J$3:$O$3,J129:O129)/SUM(($J$3:$O$3)*(J129:O129&lt;&gt;"."))</f>
        <v>97.495952169332412</v>
      </c>
      <c r="I129" s="120">
        <f t="array" ref="I129">SUMPRODUCT($J$3:$N$3,J129:N129)/SUM(($J$3:$N$3)*(J129:N129&lt;&gt;"."))</f>
        <v>97.427318072981492</v>
      </c>
      <c r="J129" s="139">
        <v>96.426774193548383</v>
      </c>
      <c r="K129" s="139">
        <v>97.403488372093037</v>
      </c>
      <c r="L129" s="139">
        <v>94.730102040816334</v>
      </c>
      <c r="M129" s="139">
        <v>96.383749999999992</v>
      </c>
      <c r="N129" s="139">
        <v>98.42786195241456</v>
      </c>
      <c r="O129" s="124">
        <v>98.8</v>
      </c>
      <c r="Q129" s="115">
        <f t="shared" si="18"/>
        <v>97.495952169332412</v>
      </c>
      <c r="R129" s="87" t="str">
        <f t="shared" si="10"/>
        <v>.</v>
      </c>
      <c r="S129" s="87">
        <f t="shared" si="11"/>
        <v>97.495952169332412</v>
      </c>
      <c r="U129" s="172">
        <f t="shared" si="20"/>
        <v>94.840296371253686</v>
      </c>
      <c r="V129" s="168"/>
      <c r="W129" s="160" t="s">
        <v>16</v>
      </c>
      <c r="X129" s="165">
        <v>95.713559513887063</v>
      </c>
    </row>
    <row r="130" spans="2:24" ht="20.25" customHeight="1">
      <c r="B130" s="125"/>
      <c r="C130" s="142" t="s">
        <v>31</v>
      </c>
      <c r="D130" s="138" t="s">
        <v>274</v>
      </c>
      <c r="E130" s="118">
        <f t="shared" si="16"/>
        <v>33</v>
      </c>
      <c r="F130" s="118">
        <f t="shared" si="17"/>
        <v>33</v>
      </c>
      <c r="G130" s="138">
        <f t="shared" si="19"/>
        <v>5</v>
      </c>
      <c r="H130" s="119">
        <f t="array" ref="H130">SUMPRODUCT($J$3:$O$3,J130:O130)/SUM(($J$3:$O$3)*(J130:O130&lt;&gt;"."))</f>
        <v>96.999133373067707</v>
      </c>
      <c r="I130" s="120">
        <f t="array" ref="I130">SUMPRODUCT($J$3:$N$3,J130:N130)/SUM(($J$3:$N$3)*(J130:N130&lt;&gt;"."))</f>
        <v>96.972771971650218</v>
      </c>
      <c r="J130" s="139">
        <v>96.146259431069794</v>
      </c>
      <c r="K130" s="139">
        <v>96.422299020608023</v>
      </c>
      <c r="L130" s="139">
        <v>95.443376240278894</v>
      </c>
      <c r="M130" s="139">
        <v>96.595312500000006</v>
      </c>
      <c r="N130" s="139">
        <v>97.799284512230642</v>
      </c>
      <c r="O130" s="124">
        <v>97.5</v>
      </c>
      <c r="Q130" s="115">
        <f t="shared" si="18"/>
        <v>96.999133373067707</v>
      </c>
      <c r="R130" s="87" t="str">
        <f t="shared" si="10"/>
        <v>.</v>
      </c>
      <c r="S130" s="87">
        <f t="shared" si="11"/>
        <v>96.999133373067707</v>
      </c>
      <c r="U130" s="172">
        <f t="shared" si="20"/>
        <v>95.701517859393533</v>
      </c>
      <c r="V130" s="168"/>
      <c r="W130" s="160" t="s">
        <v>18</v>
      </c>
      <c r="X130" s="165">
        <v>94.955502887868505</v>
      </c>
    </row>
    <row r="131" spans="2:24" ht="20.25" customHeight="1">
      <c r="B131" s="125"/>
      <c r="C131" s="142" t="s">
        <v>21</v>
      </c>
      <c r="D131" s="138" t="s">
        <v>274</v>
      </c>
      <c r="E131" s="118">
        <f t="shared" si="16"/>
        <v>2</v>
      </c>
      <c r="F131" s="118">
        <f t="shared" si="17"/>
        <v>2</v>
      </c>
      <c r="G131" s="138">
        <f t="shared" si="19"/>
        <v>1</v>
      </c>
      <c r="H131" s="119">
        <f t="array" ref="H131">SUMPRODUCT($J$3:$O$3,J131:O131)/SUM(($J$3:$O$3)*(J131:O131&lt;&gt;"."))</f>
        <v>98.118951796830885</v>
      </c>
      <c r="I131" s="120">
        <f t="array" ref="I131">SUMPRODUCT($J$3:$N$3,J131:N131)/SUM(($J$3:$N$3)*(J131:N131&lt;&gt;"."))</f>
        <v>98.156791365085141</v>
      </c>
      <c r="J131" s="139">
        <v>97.115855457227127</v>
      </c>
      <c r="K131" s="139">
        <v>97.805232558139537</v>
      </c>
      <c r="L131" s="139">
        <v>95.991246983105384</v>
      </c>
      <c r="M131" s="139">
        <v>97.238095238095241</v>
      </c>
      <c r="N131" s="139">
        <v>99.197727272943169</v>
      </c>
      <c r="O131" s="124">
        <v>97.4</v>
      </c>
      <c r="Q131" s="115">
        <f t="shared" si="18"/>
        <v>98.118951796830885</v>
      </c>
      <c r="R131" s="87" t="str">
        <f t="shared" si="10"/>
        <v>.</v>
      </c>
      <c r="S131" s="87">
        <f t="shared" si="11"/>
        <v>98.118951796830885</v>
      </c>
      <c r="U131" s="172">
        <f t="shared" si="20"/>
        <v>95.713559513887063</v>
      </c>
      <c r="V131" s="168"/>
      <c r="W131" s="160" t="s">
        <v>19</v>
      </c>
      <c r="X131" s="165">
        <v>93.413245756062736</v>
      </c>
    </row>
    <row r="132" spans="2:24" ht="20.25" customHeight="1">
      <c r="B132" s="125"/>
      <c r="C132" s="142" t="s">
        <v>23</v>
      </c>
      <c r="D132" s="138" t="s">
        <v>274</v>
      </c>
      <c r="E132" s="118">
        <f t="shared" si="16"/>
        <v>102</v>
      </c>
      <c r="F132" s="118">
        <f t="shared" si="17"/>
        <v>82</v>
      </c>
      <c r="G132" s="138">
        <f t="shared" si="19"/>
        <v>21</v>
      </c>
      <c r="H132" s="119">
        <f t="array" ref="H132">SUMPRODUCT($J$3:$O$3,J132:O132)/SUM(($J$3:$O$3)*(J132:O132&lt;&gt;"."))</f>
        <v>95.63244805341273</v>
      </c>
      <c r="I132" s="120">
        <f t="array" ref="I132">SUMPRODUCT($J$3:$N$3,J132:N132)/SUM(($J$3:$N$3)*(J132:N132&lt;&gt;"."))</f>
        <v>95.481524266750242</v>
      </c>
      <c r="J132" s="139">
        <v>94.725767831501628</v>
      </c>
      <c r="K132" s="139">
        <v>95.130321811906583</v>
      </c>
      <c r="L132" s="139">
        <v>92.953999999999994</v>
      </c>
      <c r="M132" s="139">
        <v>97.621052631578948</v>
      </c>
      <c r="N132" s="139">
        <v>96.237280701998884</v>
      </c>
      <c r="O132" s="124">
        <v>98.5</v>
      </c>
      <c r="Q132" s="115">
        <f t="shared" si="18"/>
        <v>95.63244805341273</v>
      </c>
      <c r="R132" s="87" t="str">
        <f t="shared" si="10"/>
        <v>.</v>
      </c>
      <c r="S132" s="87">
        <f t="shared" si="11"/>
        <v>95.63244805341273</v>
      </c>
      <c r="U132" s="172">
        <f t="shared" si="20"/>
        <v>94.469224195144022</v>
      </c>
      <c r="V132" s="168"/>
      <c r="W132" s="160" t="s">
        <v>20</v>
      </c>
      <c r="X132" s="165">
        <v>95.713559513887063</v>
      </c>
    </row>
    <row r="133" spans="2:24" ht="20.25" customHeight="1">
      <c r="B133" s="125"/>
      <c r="C133" s="142" t="s">
        <v>18</v>
      </c>
      <c r="D133" s="138" t="s">
        <v>274</v>
      </c>
      <c r="E133" s="118">
        <f t="shared" si="16"/>
        <v>44</v>
      </c>
      <c r="F133" s="118">
        <f t="shared" si="17"/>
        <v>44</v>
      </c>
      <c r="G133" s="138">
        <f t="shared" si="19"/>
        <v>8</v>
      </c>
      <c r="H133" s="119">
        <f t="array" ref="H133">SUMPRODUCT($J$3:$O$3,J133:O133)/SUM(($J$3:$O$3)*(J133:O133&lt;&gt;"."))</f>
        <v>96.718841923525858</v>
      </c>
      <c r="I133" s="120">
        <f t="array" ref="I133">SUMPRODUCT($J$3:$N$3,J133:N133)/SUM(($J$3:$N$3)*(J133:N133&lt;&gt;"."))</f>
        <v>96.888254656343008</v>
      </c>
      <c r="J133" s="139">
        <v>95.7071069554747</v>
      </c>
      <c r="K133" s="139">
        <v>95.712179487179469</v>
      </c>
      <c r="L133" s="139">
        <v>94.733310888803373</v>
      </c>
      <c r="M133" s="139">
        <v>98.173715932914035</v>
      </c>
      <c r="N133" s="139">
        <v>98.069402357211288</v>
      </c>
      <c r="O133" s="124">
        <v>93.5</v>
      </c>
      <c r="Q133" s="115">
        <f t="shared" si="18"/>
        <v>96.718841923525858</v>
      </c>
      <c r="R133" s="87" t="str">
        <f t="shared" si="10"/>
        <v>.</v>
      </c>
      <c r="S133" s="87">
        <f t="shared" si="11"/>
        <v>96.718841923525858</v>
      </c>
      <c r="U133" s="172">
        <f t="shared" si="20"/>
        <v>94.955502887868505</v>
      </c>
      <c r="V133" s="168"/>
      <c r="W133" s="160" t="s">
        <v>21</v>
      </c>
      <c r="X133" s="165">
        <v>95.713559513887063</v>
      </c>
    </row>
    <row r="134" spans="2:24" ht="20.25" customHeight="1">
      <c r="B134" s="125"/>
      <c r="C134" s="142" t="s">
        <v>13</v>
      </c>
      <c r="D134" s="138" t="s">
        <v>274</v>
      </c>
      <c r="E134" s="118">
        <f t="shared" si="16"/>
        <v>112</v>
      </c>
      <c r="F134" s="118">
        <f t="shared" si="17"/>
        <v>87</v>
      </c>
      <c r="G134" s="138">
        <f t="shared" si="19"/>
        <v>26</v>
      </c>
      <c r="H134" s="119">
        <f t="array" ref="H134">SUMPRODUCT($J$3:$O$3,J134:O134)/SUM(($J$3:$O$3)*(J134:O134&lt;&gt;"."))</f>
        <v>95.380964052438969</v>
      </c>
      <c r="I134" s="120">
        <f t="array" ref="I134">SUMPRODUCT($J$3:$N$3,J134:N134)/SUM(($J$3:$N$3)*(J134:N134&lt;&gt;"."))</f>
        <v>95.343120055198924</v>
      </c>
      <c r="J134" s="139">
        <v>94.394281045751626</v>
      </c>
      <c r="K134" s="139">
        <v>94.068518518518516</v>
      </c>
      <c r="L134" s="139">
        <v>94.384499999999989</v>
      </c>
      <c r="M134" s="139">
        <v>95.615909090909099</v>
      </c>
      <c r="N134" s="139">
        <v>96.291959064646193</v>
      </c>
      <c r="O134" s="124">
        <v>96.1</v>
      </c>
      <c r="Q134" s="115">
        <f t="shared" si="18"/>
        <v>95.380964052438969</v>
      </c>
      <c r="R134" s="87" t="str">
        <f t="shared" si="10"/>
        <v>.</v>
      </c>
      <c r="S134" s="87">
        <f t="shared" si="11"/>
        <v>95.380964052438969</v>
      </c>
      <c r="U134" s="172">
        <f t="shared" si="20"/>
        <v>94.036741287973499</v>
      </c>
      <c r="V134" s="168"/>
      <c r="W134" s="160" t="s">
        <v>22</v>
      </c>
      <c r="X134" s="165">
        <v>94.840296371253686</v>
      </c>
    </row>
    <row r="135" spans="2:24" ht="20.25" customHeight="1">
      <c r="B135" s="125"/>
      <c r="C135" s="142" t="s">
        <v>30</v>
      </c>
      <c r="D135" s="138" t="s">
        <v>274</v>
      </c>
      <c r="E135" s="118">
        <f t="shared" si="16"/>
        <v>40</v>
      </c>
      <c r="F135" s="118">
        <f t="shared" si="17"/>
        <v>40</v>
      </c>
      <c r="G135" s="138">
        <f t="shared" si="19"/>
        <v>6</v>
      </c>
      <c r="H135" s="119">
        <f t="array" ref="H135">SUMPRODUCT($J$3:$O$3,J135:O135)/SUM(($J$3:$O$3)*(J135:O135&lt;&gt;"."))</f>
        <v>96.778287168214533</v>
      </c>
      <c r="I135" s="120">
        <f t="array" ref="I135">SUMPRODUCT($J$3:$N$3,J135:N135)/SUM(($J$3:$N$3)*(J135:N135&lt;&gt;"."))</f>
        <v>96.629775966541615</v>
      </c>
      <c r="J135" s="139">
        <v>96.153996376313017</v>
      </c>
      <c r="K135" s="139">
        <v>96.279939628978084</v>
      </c>
      <c r="L135" s="139">
        <v>95.740384615384599</v>
      </c>
      <c r="M135" s="139">
        <v>96.579687500000006</v>
      </c>
      <c r="N135" s="139">
        <v>97.105555556770213</v>
      </c>
      <c r="O135" s="124">
        <v>99.6</v>
      </c>
      <c r="Q135" s="115">
        <f t="shared" si="18"/>
        <v>96.778287168214533</v>
      </c>
      <c r="R135" s="87" t="str">
        <f t="shared" ref="R135:R199" si="21">IF($D135=R$5,H135,".")</f>
        <v>.</v>
      </c>
      <c r="S135" s="87">
        <f t="shared" ref="S135:S199" si="22">IF($D135=S$5,H135,".")</f>
        <v>96.778287168214533</v>
      </c>
      <c r="U135" s="172">
        <f t="shared" si="20"/>
        <v>95.713559513887063</v>
      </c>
      <c r="V135" s="168"/>
      <c r="W135" s="160" t="s">
        <v>23</v>
      </c>
      <c r="X135" s="165">
        <v>94.469224195144022</v>
      </c>
    </row>
    <row r="136" spans="2:24" ht="20.25" customHeight="1">
      <c r="B136" s="125"/>
      <c r="C136" s="142" t="s">
        <v>16</v>
      </c>
      <c r="D136" s="138" t="s">
        <v>274</v>
      </c>
      <c r="E136" s="118">
        <f t="shared" si="16"/>
        <v>43</v>
      </c>
      <c r="F136" s="118">
        <f t="shared" si="17"/>
        <v>43</v>
      </c>
      <c r="G136" s="138">
        <f t="shared" si="19"/>
        <v>7</v>
      </c>
      <c r="H136" s="119">
        <f t="array" ref="H136">SUMPRODUCT($J$3:$O$3,J136:O136)/SUM(($J$3:$O$3)*(J136:O136&lt;&gt;"."))</f>
        <v>96.726754759203502</v>
      </c>
      <c r="I136" s="120">
        <f t="array" ref="I136">SUMPRODUCT($J$3:$N$3,J136:N136)/SUM(($J$3:$N$3)*(J136:N136&lt;&gt;"."))</f>
        <v>96.649215536003695</v>
      </c>
      <c r="J136" s="139">
        <v>95.176461375310382</v>
      </c>
      <c r="K136" s="139">
        <v>95.343062180037521</v>
      </c>
      <c r="L136" s="139">
        <v>94.759075824617867</v>
      </c>
      <c r="M136" s="139">
        <v>95.527380952380952</v>
      </c>
      <c r="N136" s="139">
        <v>98.121969696696965</v>
      </c>
      <c r="O136" s="124">
        <v>98.2</v>
      </c>
      <c r="Q136" s="115">
        <f t="shared" si="18"/>
        <v>96.726754759203502</v>
      </c>
      <c r="R136" s="87" t="str">
        <f t="shared" si="21"/>
        <v>.</v>
      </c>
      <c r="S136" s="87">
        <f t="shared" si="22"/>
        <v>96.726754759203502</v>
      </c>
      <c r="U136" s="172">
        <f t="shared" si="20"/>
        <v>95.713559513887063</v>
      </c>
      <c r="V136" s="168"/>
      <c r="W136" s="160" t="s">
        <v>24</v>
      </c>
      <c r="X136" s="165">
        <v>95.605273693387431</v>
      </c>
    </row>
    <row r="137" spans="2:24" ht="20.25" customHeight="1">
      <c r="B137" s="125"/>
      <c r="C137" s="142" t="s">
        <v>28</v>
      </c>
      <c r="D137" s="138" t="s">
        <v>274</v>
      </c>
      <c r="E137" s="118">
        <f t="shared" si="16"/>
        <v>54</v>
      </c>
      <c r="F137" s="118">
        <f t="shared" si="17"/>
        <v>52</v>
      </c>
      <c r="G137" s="138">
        <f t="shared" si="19"/>
        <v>11</v>
      </c>
      <c r="H137" s="119">
        <f t="array" ref="H137">SUMPRODUCT($J$3:$O$3,J137:O137)/SUM(($J$3:$O$3)*(J137:O137&lt;&gt;"."))</f>
        <v>96.431003935533766</v>
      </c>
      <c r="I137" s="120">
        <f t="array" ref="I137">SUMPRODUCT($J$3:$N$3,J137:N137)/SUM(($J$3:$N$3)*(J137:N137&lt;&gt;"."))</f>
        <v>96.327372563719763</v>
      </c>
      <c r="J137" s="139">
        <v>96.330502702219832</v>
      </c>
      <c r="K137" s="139">
        <v>97.656481481481492</v>
      </c>
      <c r="L137" s="139">
        <v>93.910041149239476</v>
      </c>
      <c r="M137" s="139">
        <v>96.53235294117647</v>
      </c>
      <c r="N137" s="139">
        <v>96.32424242521968</v>
      </c>
      <c r="O137" s="124">
        <v>98.4</v>
      </c>
      <c r="Q137" s="115">
        <f t="shared" si="18"/>
        <v>96.431003935533766</v>
      </c>
      <c r="R137" s="87" t="str">
        <f t="shared" si="21"/>
        <v>.</v>
      </c>
      <c r="S137" s="87">
        <f t="shared" si="22"/>
        <v>96.431003935533766</v>
      </c>
      <c r="U137" s="172">
        <f t="shared" si="20"/>
        <v>94.35136791254898</v>
      </c>
      <c r="V137" s="168"/>
      <c r="W137" s="160" t="s">
        <v>25</v>
      </c>
      <c r="X137" s="165">
        <v>95.057682782449334</v>
      </c>
    </row>
    <row r="138" spans="2:24" ht="20.25" customHeight="1">
      <c r="B138" s="125"/>
      <c r="C138" s="142" t="s">
        <v>29</v>
      </c>
      <c r="D138" s="138" t="s">
        <v>274</v>
      </c>
      <c r="E138" s="118">
        <f t="shared" si="16"/>
        <v>48</v>
      </c>
      <c r="F138" s="118">
        <f t="shared" si="17"/>
        <v>48</v>
      </c>
      <c r="G138" s="138">
        <f t="shared" si="19"/>
        <v>10</v>
      </c>
      <c r="H138" s="119">
        <f t="array" ref="H138">SUMPRODUCT($J$3:$O$3,J138:O138)/SUM(($J$3:$O$3)*(J138:O138&lt;&gt;"."))</f>
        <v>96.568427162825387</v>
      </c>
      <c r="I138" s="120">
        <f t="array" ref="I138">SUMPRODUCT($J$3:$N$3,J138:N138)/SUM(($J$3:$N$3)*(J138:N138&lt;&gt;"."))</f>
        <v>96.41413385560567</v>
      </c>
      <c r="J138" s="139">
        <v>96.363200370808983</v>
      </c>
      <c r="K138" s="139">
        <v>97.534722222222229</v>
      </c>
      <c r="L138" s="139">
        <v>95.60800647779044</v>
      </c>
      <c r="M138" s="139">
        <v>93.756802010827542</v>
      </c>
      <c r="N138" s="139">
        <v>96.465067340402342</v>
      </c>
      <c r="O138" s="124">
        <v>99.5</v>
      </c>
      <c r="Q138" s="115">
        <f t="shared" si="18"/>
        <v>96.568427162825387</v>
      </c>
      <c r="R138" s="87" t="str">
        <f t="shared" si="21"/>
        <v>.</v>
      </c>
      <c r="S138" s="87">
        <f t="shared" si="22"/>
        <v>96.568427162825387</v>
      </c>
      <c r="U138" s="172">
        <f t="shared" si="20"/>
        <v>94.889039719383476</v>
      </c>
      <c r="V138" s="168"/>
      <c r="W138" s="160" t="s">
        <v>26</v>
      </c>
      <c r="X138" s="165">
        <v>95.376523675943275</v>
      </c>
    </row>
    <row r="139" spans="2:24" ht="20.25" customHeight="1">
      <c r="B139" s="125"/>
      <c r="C139" s="142" t="s">
        <v>27</v>
      </c>
      <c r="D139" s="138" t="s">
        <v>274</v>
      </c>
      <c r="E139" s="118">
        <f t="shared" si="16"/>
        <v>111</v>
      </c>
      <c r="F139" s="118">
        <f t="shared" si="17"/>
        <v>86</v>
      </c>
      <c r="G139" s="138">
        <f t="shared" si="19"/>
        <v>25</v>
      </c>
      <c r="H139" s="119">
        <f t="array" ref="H139">SUMPRODUCT($J$3:$O$3,J139:O139)/SUM(($J$3:$O$3)*(J139:O139&lt;&gt;"."))</f>
        <v>95.38640601312963</v>
      </c>
      <c r="I139" s="120">
        <f t="array" ref="I139">SUMPRODUCT($J$3:$N$3,J139:N139)/SUM(($J$3:$N$3)*(J139:N139&lt;&gt;"."))</f>
        <v>95.364637908557512</v>
      </c>
      <c r="J139" s="139">
        <v>95.240934065934056</v>
      </c>
      <c r="K139" s="139">
        <v>94.967934782608694</v>
      </c>
      <c r="L139" s="139">
        <v>96.495689655172413</v>
      </c>
      <c r="M139" s="139">
        <v>93.751562500000006</v>
      </c>
      <c r="N139" s="139">
        <v>95.488341751180968</v>
      </c>
      <c r="O139" s="124">
        <v>95.8</v>
      </c>
      <c r="Q139" s="115">
        <f t="shared" si="18"/>
        <v>95.38640601312963</v>
      </c>
      <c r="R139" s="87" t="str">
        <f t="shared" si="21"/>
        <v>.</v>
      </c>
      <c r="S139" s="87">
        <f t="shared" si="22"/>
        <v>95.38640601312963</v>
      </c>
      <c r="U139" s="172">
        <f t="shared" si="20"/>
        <v>94.164888874498729</v>
      </c>
      <c r="V139" s="168"/>
      <c r="W139" s="160" t="s">
        <v>27</v>
      </c>
      <c r="X139" s="165">
        <v>94.164888874498729</v>
      </c>
    </row>
    <row r="140" spans="2:24" ht="20.25" customHeight="1">
      <c r="B140" s="125"/>
      <c r="C140" s="142" t="s">
        <v>20</v>
      </c>
      <c r="D140" s="138" t="s">
        <v>274</v>
      </c>
      <c r="E140" s="118">
        <f t="shared" si="16"/>
        <v>7</v>
      </c>
      <c r="F140" s="118">
        <f t="shared" si="17"/>
        <v>7</v>
      </c>
      <c r="G140" s="138">
        <f t="shared" si="19"/>
        <v>2</v>
      </c>
      <c r="H140" s="119">
        <f t="array" ref="H140">SUMPRODUCT($J$3:$O$3,J140:O140)/SUM(($J$3:$O$3)*(J140:O140&lt;&gt;"."))</f>
        <v>97.634190867048133</v>
      </c>
      <c r="I140" s="120">
        <f t="array" ref="I140">SUMPRODUCT($J$3:$N$3,J140:N140)/SUM(($J$3:$N$3)*(J140:N140&lt;&gt;"."))</f>
        <v>97.620200912682236</v>
      </c>
      <c r="J140" s="139">
        <v>96.961403508771923</v>
      </c>
      <c r="K140" s="139">
        <v>96.326293103448279</v>
      </c>
      <c r="L140" s="139">
        <v>97.081081081081081</v>
      </c>
      <c r="M140" s="139">
        <v>98.667105263157907</v>
      </c>
      <c r="N140" s="139">
        <v>98.278998316592578</v>
      </c>
      <c r="O140" s="124">
        <v>97.9</v>
      </c>
      <c r="Q140" s="115">
        <f t="shared" si="18"/>
        <v>97.634190867048133</v>
      </c>
      <c r="R140" s="87" t="str">
        <f t="shared" si="21"/>
        <v>.</v>
      </c>
      <c r="S140" s="87">
        <f t="shared" si="22"/>
        <v>97.634190867048133</v>
      </c>
      <c r="U140" s="172">
        <f t="shared" si="20"/>
        <v>95.713559513887063</v>
      </c>
      <c r="V140" s="168"/>
      <c r="W140" s="160" t="s">
        <v>28</v>
      </c>
      <c r="X140" s="165">
        <v>94.35136791254898</v>
      </c>
    </row>
    <row r="141" spans="2:24" ht="20.25" customHeight="1">
      <c r="B141" s="125"/>
      <c r="C141" s="142" t="s">
        <v>24</v>
      </c>
      <c r="D141" s="138" t="s">
        <v>274</v>
      </c>
      <c r="E141" s="118">
        <f t="shared" si="16"/>
        <v>84</v>
      </c>
      <c r="F141" s="118">
        <f t="shared" si="17"/>
        <v>73</v>
      </c>
      <c r="G141" s="138">
        <f t="shared" si="19"/>
        <v>16</v>
      </c>
      <c r="H141" s="119">
        <f t="array" ref="H141">SUMPRODUCT($J$3:$O$3,J141:O141)/SUM(($J$3:$O$3)*(J141:O141&lt;&gt;"."))</f>
        <v>95.995061001777174</v>
      </c>
      <c r="I141" s="120">
        <f t="array" ref="I141">SUMPRODUCT($J$3:$N$3,J141:N141)/SUM(($J$3:$N$3)*(J141:N141&lt;&gt;"."))</f>
        <v>95.852695791344402</v>
      </c>
      <c r="J141" s="139">
        <v>95.548278787597042</v>
      </c>
      <c r="K141" s="139">
        <v>96.496568627450998</v>
      </c>
      <c r="L141" s="139">
        <v>93.571171651113232</v>
      </c>
      <c r="M141" s="139">
        <v>96.356249999999989</v>
      </c>
      <c r="N141" s="139">
        <v>96.157112795091749</v>
      </c>
      <c r="O141" s="124">
        <v>98.7</v>
      </c>
      <c r="Q141" s="115">
        <f t="shared" si="18"/>
        <v>95.995061001777174</v>
      </c>
      <c r="R141" s="87" t="str">
        <f t="shared" si="21"/>
        <v>.</v>
      </c>
      <c r="S141" s="87">
        <f t="shared" si="22"/>
        <v>95.995061001777174</v>
      </c>
      <c r="U141" s="172">
        <f t="shared" si="20"/>
        <v>95.605273693387431</v>
      </c>
      <c r="V141" s="168"/>
      <c r="W141" s="160" t="s">
        <v>29</v>
      </c>
      <c r="X141" s="165">
        <v>94.889039719383476</v>
      </c>
    </row>
    <row r="142" spans="2:24" ht="20.25" customHeight="1" thickBot="1">
      <c r="B142" s="126"/>
      <c r="C142" s="143" t="s">
        <v>15</v>
      </c>
      <c r="D142" s="140" t="s">
        <v>274</v>
      </c>
      <c r="E142" s="128">
        <f t="shared" si="16"/>
        <v>46</v>
      </c>
      <c r="F142" s="128">
        <f t="shared" si="17"/>
        <v>46</v>
      </c>
      <c r="G142" s="140">
        <f t="shared" si="19"/>
        <v>9</v>
      </c>
      <c r="H142" s="129">
        <f t="array" ref="H142">SUMPRODUCT($J$3:$O$3,J142:O142)/SUM(($J$3:$O$3)*(J142:O142&lt;&gt;"."))</f>
        <v>96.580064665102668</v>
      </c>
      <c r="I142" s="130">
        <f t="array" ref="I142">SUMPRODUCT($J$3:$N$3,J142:N142)/SUM(($J$3:$N$3)*(J142:N142&lt;&gt;"."))</f>
        <v>96.579015436950186</v>
      </c>
      <c r="J142" s="141">
        <v>95.518005621277879</v>
      </c>
      <c r="K142" s="141">
        <v>95.514063929271984</v>
      </c>
      <c r="L142" s="141">
        <v>95.607894736842113</v>
      </c>
      <c r="M142" s="141">
        <v>95.344444444444434</v>
      </c>
      <c r="N142" s="141">
        <v>97.640025252622479</v>
      </c>
      <c r="O142" s="134">
        <v>96.6</v>
      </c>
      <c r="Q142" s="115">
        <f t="shared" si="18"/>
        <v>96.580064665102668</v>
      </c>
      <c r="R142" s="87" t="str">
        <f t="shared" si="21"/>
        <v>.</v>
      </c>
      <c r="S142" s="87">
        <f t="shared" si="22"/>
        <v>96.580064665102668</v>
      </c>
      <c r="U142" s="173">
        <f t="shared" si="20"/>
        <v>95.142559940341329</v>
      </c>
      <c r="V142" s="168"/>
      <c r="W142" s="160" t="s">
        <v>30</v>
      </c>
      <c r="X142" s="165">
        <v>95.713559513887063</v>
      </c>
    </row>
    <row r="143" spans="2:24" ht="20.25" customHeight="1">
      <c r="B143" s="135" t="s">
        <v>269</v>
      </c>
      <c r="C143" s="136"/>
      <c r="D143" s="108" t="s">
        <v>32</v>
      </c>
      <c r="E143" s="108" t="s">
        <v>32</v>
      </c>
      <c r="F143" s="108" t="s">
        <v>32</v>
      </c>
      <c r="G143" s="108" t="s">
        <v>32</v>
      </c>
      <c r="H143" s="109">
        <f t="array" ref="H143">SUMPRODUCT($J$3:$O$3,J143:O143)/SUM(($J$3:$O$3)*(J143:O143&lt;&gt;"."))</f>
        <v>96.316114266551025</v>
      </c>
      <c r="I143" s="110">
        <f t="array" ref="I143">SUMPRODUCT($J$3:$N$3,J143:N143)/SUM(($J$3:$N$3)*(J143:N143&lt;&gt;"."))</f>
        <v>96.314225543737919</v>
      </c>
      <c r="J143" s="137">
        <v>95.841278835364861</v>
      </c>
      <c r="K143" s="137">
        <v>96.086068466779167</v>
      </c>
      <c r="L143" s="137">
        <v>95.360974420857758</v>
      </c>
      <c r="M143" s="137">
        <v>96.032205341642467</v>
      </c>
      <c r="N143" s="137">
        <v>96.787172252110977</v>
      </c>
      <c r="O143" s="114">
        <v>96.352000000000004</v>
      </c>
      <c r="Q143" s="115" t="s">
        <v>270</v>
      </c>
      <c r="R143" s="87" t="str">
        <f t="shared" si="21"/>
        <v>.</v>
      </c>
      <c r="S143" s="87" t="str">
        <f t="shared" si="22"/>
        <v>.</v>
      </c>
      <c r="W143" s="160" t="s">
        <v>31</v>
      </c>
      <c r="X143" s="165">
        <v>95.701517859393533</v>
      </c>
    </row>
    <row r="144" spans="2:24" ht="20.25" customHeight="1">
      <c r="B144" s="116" t="s">
        <v>156</v>
      </c>
      <c r="C144" s="142" t="s">
        <v>157</v>
      </c>
      <c r="D144" s="138" t="s">
        <v>271</v>
      </c>
      <c r="E144" s="118">
        <f t="shared" ref="E144:E169" si="23">RANK(H144,$Q$8:$Q$238)</f>
        <v>137</v>
      </c>
      <c r="F144" s="118">
        <f t="shared" ref="F144:F169" si="24">IF(D144="4급",RANK(H144,$R$8:$R$238),IF(D144="5급",RANK(H144,$S$8:$S$238),"-"))</f>
        <v>43</v>
      </c>
      <c r="G144" s="138">
        <f>RANK(H144,$H$144:$H$169)</f>
        <v>25</v>
      </c>
      <c r="H144" s="119">
        <f t="array" ref="H144">SUMPRODUCT($J$3:$O$3,J144:O144)/SUM(($J$3:$O$3)*(J144:O144&lt;&gt;"."))</f>
        <v>94.974650077808235</v>
      </c>
      <c r="I144" s="120">
        <f t="array" ref="I144">SUMPRODUCT($J$3:$N$3,J144:N144)/SUM(($J$3:$N$3)*(J144:N144&lt;&gt;"."))</f>
        <v>94.978579029271827</v>
      </c>
      <c r="J144" s="139">
        <v>93.535156795064822</v>
      </c>
      <c r="K144" s="139">
        <v>94.261979166666663</v>
      </c>
      <c r="L144" s="139">
        <v>93.695682680151691</v>
      </c>
      <c r="M144" s="139">
        <v>89.242592592592601</v>
      </c>
      <c r="N144" s="139">
        <v>96.422001263478833</v>
      </c>
      <c r="O144" s="124">
        <v>94.9</v>
      </c>
      <c r="Q144" s="115">
        <f t="shared" ref="Q144:Q169" si="25">H144</f>
        <v>94.974650077808235</v>
      </c>
      <c r="R144" s="87">
        <f t="shared" si="21"/>
        <v>94.974650077808235</v>
      </c>
      <c r="S144" s="87" t="str">
        <f t="shared" si="22"/>
        <v>.</v>
      </c>
      <c r="W144" s="161" t="s">
        <v>34</v>
      </c>
      <c r="X144" s="166">
        <v>94.997878513927049</v>
      </c>
    </row>
    <row r="145" spans="2:24" ht="20.25" customHeight="1" thickBot="1">
      <c r="B145" s="125"/>
      <c r="C145" s="142" t="s">
        <v>158</v>
      </c>
      <c r="D145" s="138" t="s">
        <v>271</v>
      </c>
      <c r="E145" s="118">
        <f t="shared" si="23"/>
        <v>127</v>
      </c>
      <c r="F145" s="118">
        <f t="shared" si="24"/>
        <v>34</v>
      </c>
      <c r="G145" s="138">
        <f t="shared" ref="G145:G169" si="26">RANK(H145,$H$144:$H$169)</f>
        <v>22</v>
      </c>
      <c r="H145" s="119">
        <f t="array" ref="H145">SUMPRODUCT($J$3:$O$3,J145:O145)/SUM(($J$3:$O$3)*(J145:O145&lt;&gt;"."))</f>
        <v>95.091800735314351</v>
      </c>
      <c r="I145" s="120">
        <f t="array" ref="I145">SUMPRODUCT($J$3:$N$3,J145:N145)/SUM(($J$3:$N$3)*(J145:N145&lt;&gt;"."))</f>
        <v>95.170316563488797</v>
      </c>
      <c r="J145" s="139">
        <v>94.793789691670469</v>
      </c>
      <c r="K145" s="139">
        <v>95.129958677685948</v>
      </c>
      <c r="L145" s="139">
        <v>93.912083333333371</v>
      </c>
      <c r="M145" s="139">
        <v>95.303203616352206</v>
      </c>
      <c r="N145" s="139">
        <v>95.546843435307125</v>
      </c>
      <c r="O145" s="124">
        <v>93.6</v>
      </c>
      <c r="Q145" s="115">
        <f t="shared" si="25"/>
        <v>95.091800735314351</v>
      </c>
      <c r="R145" s="87">
        <f t="shared" si="21"/>
        <v>95.091800735314351</v>
      </c>
      <c r="S145" s="87" t="str">
        <f t="shared" si="22"/>
        <v>.</v>
      </c>
      <c r="W145" s="162" t="s">
        <v>252</v>
      </c>
      <c r="X145" s="167">
        <v>94.29112451047034</v>
      </c>
    </row>
    <row r="146" spans="2:24" ht="20.25" customHeight="1">
      <c r="B146" s="125"/>
      <c r="C146" s="142" t="s">
        <v>159</v>
      </c>
      <c r="D146" s="138" t="s">
        <v>271</v>
      </c>
      <c r="E146" s="118">
        <f t="shared" si="23"/>
        <v>179</v>
      </c>
      <c r="F146" s="118">
        <f t="shared" si="24"/>
        <v>76</v>
      </c>
      <c r="G146" s="138">
        <f t="shared" si="26"/>
        <v>26</v>
      </c>
      <c r="H146" s="119">
        <f t="array" ref="H146">SUMPRODUCT($J$3:$O$3,J146:O146)/SUM(($J$3:$O$3)*(J146:O146&lt;&gt;"."))</f>
        <v>94.20587795047922</v>
      </c>
      <c r="I146" s="120">
        <f t="array" ref="I146">SUMPRODUCT($J$3:$N$3,J146:N146)/SUM(($J$3:$N$3)*(J146:N146&lt;&gt;"."))</f>
        <v>94.164082053136028</v>
      </c>
      <c r="J146" s="139">
        <v>91.595430520034071</v>
      </c>
      <c r="K146" s="139">
        <v>91.650485436893192</v>
      </c>
      <c r="L146" s="139">
        <v>90.303227156475231</v>
      </c>
      <c r="M146" s="139">
        <v>94.568181818181813</v>
      </c>
      <c r="N146" s="139">
        <v>96.732733586237998</v>
      </c>
      <c r="O146" s="124">
        <v>95</v>
      </c>
      <c r="Q146" s="115">
        <f t="shared" si="25"/>
        <v>94.20587795047922</v>
      </c>
      <c r="R146" s="87">
        <f t="shared" si="21"/>
        <v>94.20587795047922</v>
      </c>
      <c r="S146" s="87" t="str">
        <f t="shared" si="22"/>
        <v>.</v>
      </c>
    </row>
    <row r="147" spans="2:24" ht="20.25" customHeight="1">
      <c r="B147" s="125"/>
      <c r="C147" s="142" t="s">
        <v>160</v>
      </c>
      <c r="D147" s="138" t="s">
        <v>271</v>
      </c>
      <c r="E147" s="118">
        <f t="shared" si="23"/>
        <v>133</v>
      </c>
      <c r="F147" s="118">
        <f t="shared" si="24"/>
        <v>39</v>
      </c>
      <c r="G147" s="138">
        <f t="shared" si="26"/>
        <v>24</v>
      </c>
      <c r="H147" s="119">
        <f t="array" ref="H147">SUMPRODUCT($J$3:$O$3,J147:O147)/SUM(($J$3:$O$3)*(J147:O147&lt;&gt;"."))</f>
        <v>95.027008954966917</v>
      </c>
      <c r="I147" s="120">
        <f t="array" ref="I147">SUMPRODUCT($J$3:$N$3,J147:N147)/SUM(($J$3:$N$3)*(J147:N147&lt;&gt;"."))</f>
        <v>94.938956794702008</v>
      </c>
      <c r="J147" s="139">
        <v>95.030786064187794</v>
      </c>
      <c r="K147" s="139">
        <v>96.224682956078524</v>
      </c>
      <c r="L147" s="139">
        <v>93.10507812500002</v>
      </c>
      <c r="M147" s="139">
        <v>94.942708333333329</v>
      </c>
      <c r="N147" s="139">
        <v>94.847127525216223</v>
      </c>
      <c r="O147" s="124">
        <v>96.7</v>
      </c>
      <c r="Q147" s="115">
        <f t="shared" si="25"/>
        <v>95.027008954966917</v>
      </c>
      <c r="R147" s="87">
        <f t="shared" si="21"/>
        <v>95.027008954966917</v>
      </c>
      <c r="S147" s="87" t="str">
        <f t="shared" si="22"/>
        <v>.</v>
      </c>
    </row>
    <row r="148" spans="2:24" ht="20.25" customHeight="1">
      <c r="B148" s="125"/>
      <c r="C148" s="142" t="s">
        <v>161</v>
      </c>
      <c r="D148" s="138" t="s">
        <v>271</v>
      </c>
      <c r="E148" s="118">
        <f t="shared" si="23"/>
        <v>131</v>
      </c>
      <c r="F148" s="118">
        <f t="shared" si="24"/>
        <v>37</v>
      </c>
      <c r="G148" s="138">
        <f t="shared" si="26"/>
        <v>23</v>
      </c>
      <c r="H148" s="119">
        <f t="array" ref="H148">SUMPRODUCT($J$3:$O$3,J148:O148)/SUM(($J$3:$O$3)*(J148:O148&lt;&gt;"."))</f>
        <v>95.04826840695587</v>
      </c>
      <c r="I148" s="120">
        <f t="array" ref="I148">SUMPRODUCT($J$3:$N$3,J148:N148)/SUM(($J$3:$N$3)*(J148:N148&lt;&gt;"."))</f>
        <v>94.998177270479857</v>
      </c>
      <c r="J148" s="139">
        <v>95.273721964845151</v>
      </c>
      <c r="K148" s="139">
        <v>94.878333333333316</v>
      </c>
      <c r="L148" s="139">
        <v>95.521858867994084</v>
      </c>
      <c r="M148" s="139">
        <v>96.491897891231957</v>
      </c>
      <c r="N148" s="139">
        <v>94.722632576114563</v>
      </c>
      <c r="O148" s="124">
        <v>96</v>
      </c>
      <c r="Q148" s="115">
        <f t="shared" si="25"/>
        <v>95.04826840695587</v>
      </c>
      <c r="R148" s="87">
        <f t="shared" si="21"/>
        <v>95.04826840695587</v>
      </c>
      <c r="S148" s="87" t="str">
        <f t="shared" si="22"/>
        <v>.</v>
      </c>
    </row>
    <row r="149" spans="2:24" ht="20.25" customHeight="1">
      <c r="B149" s="125"/>
      <c r="C149" s="142" t="s">
        <v>162</v>
      </c>
      <c r="D149" s="138" t="s">
        <v>271</v>
      </c>
      <c r="E149" s="118">
        <f t="shared" si="23"/>
        <v>95</v>
      </c>
      <c r="F149" s="118">
        <f t="shared" si="24"/>
        <v>18</v>
      </c>
      <c r="G149" s="138">
        <f t="shared" si="26"/>
        <v>21</v>
      </c>
      <c r="H149" s="119">
        <f t="array" ref="H149">SUMPRODUCT($J$3:$O$3,J149:O149)/SUM(($J$3:$O$3)*(J149:O149&lt;&gt;"."))</f>
        <v>95.756714095984492</v>
      </c>
      <c r="I149" s="120">
        <f t="array" ref="I149">SUMPRODUCT($J$3:$N$3,J149:N149)/SUM(($J$3:$N$3)*(J149:N149&lt;&gt;"."))</f>
        <v>95.696541153667894</v>
      </c>
      <c r="J149" s="139">
        <v>95.644376498660918</v>
      </c>
      <c r="K149" s="139">
        <v>96.822460937499955</v>
      </c>
      <c r="L149" s="139">
        <v>94.19203539823009</v>
      </c>
      <c r="M149" s="139">
        <v>94.715403733008728</v>
      </c>
      <c r="N149" s="139">
        <v>95.748705808674856</v>
      </c>
      <c r="O149" s="124">
        <v>96.9</v>
      </c>
      <c r="Q149" s="115">
        <f t="shared" si="25"/>
        <v>95.756714095984492</v>
      </c>
      <c r="R149" s="87">
        <f t="shared" si="21"/>
        <v>95.756714095984492</v>
      </c>
      <c r="S149" s="87" t="str">
        <f t="shared" si="22"/>
        <v>.</v>
      </c>
    </row>
    <row r="150" spans="2:24" ht="20.25" customHeight="1">
      <c r="B150" s="125"/>
      <c r="C150" s="142" t="s">
        <v>163</v>
      </c>
      <c r="D150" s="138" t="s">
        <v>271</v>
      </c>
      <c r="E150" s="118">
        <f t="shared" si="23"/>
        <v>91</v>
      </c>
      <c r="F150" s="118">
        <f t="shared" si="24"/>
        <v>16</v>
      </c>
      <c r="G150" s="138">
        <f t="shared" si="26"/>
        <v>20</v>
      </c>
      <c r="H150" s="119">
        <f t="array" ref="H150">SUMPRODUCT($J$3:$O$3,J150:O150)/SUM(($J$3:$O$3)*(J150:O150&lt;&gt;"."))</f>
        <v>95.814412724957876</v>
      </c>
      <c r="I150" s="120">
        <f t="array" ref="I150">SUMPRODUCT($J$3:$N$3,J150:N150)/SUM(($J$3:$N$3)*(J150:N150&lt;&gt;"."))</f>
        <v>95.683592342060919</v>
      </c>
      <c r="J150" s="139">
        <v>95.033977612439742</v>
      </c>
      <c r="K150" s="139">
        <v>95.411904761904751</v>
      </c>
      <c r="L150" s="139">
        <v>94.553618421052661</v>
      </c>
      <c r="M150" s="139">
        <v>94.916383088424851</v>
      </c>
      <c r="N150" s="139">
        <v>96.333207071682125</v>
      </c>
      <c r="O150" s="124">
        <v>98.3</v>
      </c>
      <c r="Q150" s="115">
        <f t="shared" si="25"/>
        <v>95.814412724957876</v>
      </c>
      <c r="R150" s="87">
        <f t="shared" si="21"/>
        <v>95.814412724957876</v>
      </c>
      <c r="S150" s="87" t="str">
        <f t="shared" si="22"/>
        <v>.</v>
      </c>
    </row>
    <row r="151" spans="2:24" ht="20.25" customHeight="1">
      <c r="B151" s="125"/>
      <c r="C151" s="142" t="s">
        <v>179</v>
      </c>
      <c r="D151" s="138" t="s">
        <v>274</v>
      </c>
      <c r="E151" s="118">
        <f t="shared" si="23"/>
        <v>10</v>
      </c>
      <c r="F151" s="118">
        <f t="shared" si="24"/>
        <v>10</v>
      </c>
      <c r="G151" s="138">
        <f t="shared" si="26"/>
        <v>5</v>
      </c>
      <c r="H151" s="119">
        <f t="array" ref="H151">SUMPRODUCT($J$3:$O$3,J151:O151)/SUM(($J$3:$O$3)*(J151:O151&lt;&gt;"."))</f>
        <v>97.49774621227894</v>
      </c>
      <c r="I151" s="120">
        <f t="array" ref="I151">SUMPRODUCT($J$3:$N$3,J151:N151)/SUM(($J$3:$N$3)*(J151:N151&lt;&gt;"."))</f>
        <v>97.434469697135725</v>
      </c>
      <c r="J151" s="139">
        <v>96.651262626262636</v>
      </c>
      <c r="K151" s="139">
        <v>96.727941176470594</v>
      </c>
      <c r="L151" s="139">
        <v>95.69250000000001</v>
      </c>
      <c r="M151" s="139">
        <v>98.031944444444449</v>
      </c>
      <c r="N151" s="139">
        <v>98.217676768008829</v>
      </c>
      <c r="O151" s="124">
        <v>98.7</v>
      </c>
      <c r="Q151" s="115">
        <f t="shared" si="25"/>
        <v>97.49774621227894</v>
      </c>
      <c r="R151" s="87" t="str">
        <f t="shared" si="21"/>
        <v>.</v>
      </c>
      <c r="S151" s="87">
        <f t="shared" si="22"/>
        <v>97.49774621227894</v>
      </c>
    </row>
    <row r="152" spans="2:24" ht="20.25" customHeight="1">
      <c r="B152" s="125"/>
      <c r="C152" s="142" t="s">
        <v>165</v>
      </c>
      <c r="D152" s="138" t="s">
        <v>274</v>
      </c>
      <c r="E152" s="118">
        <f t="shared" si="23"/>
        <v>3</v>
      </c>
      <c r="F152" s="118">
        <f t="shared" si="24"/>
        <v>3</v>
      </c>
      <c r="G152" s="138">
        <f t="shared" si="26"/>
        <v>1</v>
      </c>
      <c r="H152" s="119">
        <f t="array" ref="H152">SUMPRODUCT($J$3:$O$3,J152:O152)/SUM(($J$3:$O$3)*(J152:O152&lt;&gt;"."))</f>
        <v>98.054642402539798</v>
      </c>
      <c r="I152" s="120">
        <f t="array" ref="I152">SUMPRODUCT($J$3:$N$3,J152:N152)/SUM(($J$3:$N$3)*(J152:N152&lt;&gt;"."))</f>
        <v>98.152255160568203</v>
      </c>
      <c r="J152" s="139">
        <v>97.975217391304341</v>
      </c>
      <c r="K152" s="139">
        <v>98.547844827586218</v>
      </c>
      <c r="L152" s="139">
        <v>96.415131578947367</v>
      </c>
      <c r="M152" s="139">
        <v>99.347368421052622</v>
      </c>
      <c r="N152" s="139">
        <v>98.329292929832064</v>
      </c>
      <c r="O152" s="124">
        <v>96.2</v>
      </c>
      <c r="Q152" s="115">
        <f t="shared" si="25"/>
        <v>98.054642402539798</v>
      </c>
      <c r="R152" s="87" t="str">
        <f t="shared" si="21"/>
        <v>.</v>
      </c>
      <c r="S152" s="87">
        <f t="shared" si="22"/>
        <v>98.054642402539798</v>
      </c>
    </row>
    <row r="153" spans="2:24" ht="20.25" customHeight="1">
      <c r="B153" s="125"/>
      <c r="C153" s="142" t="s">
        <v>166</v>
      </c>
      <c r="D153" s="138" t="s">
        <v>274</v>
      </c>
      <c r="E153" s="118">
        <f t="shared" si="23"/>
        <v>70</v>
      </c>
      <c r="F153" s="118">
        <f t="shared" si="24"/>
        <v>63</v>
      </c>
      <c r="G153" s="138">
        <f t="shared" si="26"/>
        <v>18</v>
      </c>
      <c r="H153" s="119">
        <f t="array" ref="H153">SUMPRODUCT($J$3:$O$3,J153:O153)/SUM(($J$3:$O$3)*(J153:O153&lt;&gt;"."))</f>
        <v>96.188199946205899</v>
      </c>
      <c r="I153" s="120">
        <f t="array" ref="I153">SUMPRODUCT($J$3:$N$3,J153:N153)/SUM(($J$3:$N$3)*(J153:N153&lt;&gt;"."))</f>
        <v>96.124420996006208</v>
      </c>
      <c r="J153" s="139">
        <v>96.112857142857138</v>
      </c>
      <c r="K153" s="139">
        <v>96.018402777777766</v>
      </c>
      <c r="L153" s="139">
        <v>97.006382978723408</v>
      </c>
      <c r="M153" s="139">
        <v>94.436904761904756</v>
      </c>
      <c r="N153" s="139">
        <v>96.135984849155292</v>
      </c>
      <c r="O153" s="124">
        <v>97.4</v>
      </c>
      <c r="Q153" s="115">
        <f t="shared" si="25"/>
        <v>96.188199946205899</v>
      </c>
      <c r="R153" s="87" t="str">
        <f t="shared" si="21"/>
        <v>.</v>
      </c>
      <c r="S153" s="87">
        <f t="shared" si="22"/>
        <v>96.188199946205899</v>
      </c>
    </row>
    <row r="154" spans="2:24" ht="20.25" customHeight="1">
      <c r="B154" s="125"/>
      <c r="C154" s="142" t="s">
        <v>167</v>
      </c>
      <c r="D154" s="138" t="s">
        <v>274</v>
      </c>
      <c r="E154" s="118">
        <f t="shared" si="23"/>
        <v>12</v>
      </c>
      <c r="F154" s="118">
        <f t="shared" si="24"/>
        <v>12</v>
      </c>
      <c r="G154" s="138">
        <f t="shared" si="26"/>
        <v>6</v>
      </c>
      <c r="H154" s="119">
        <f t="array" ref="H154">SUMPRODUCT($J$3:$O$3,J154:O154)/SUM(($J$3:$O$3)*(J154:O154&lt;&gt;"."))</f>
        <v>97.495699657908517</v>
      </c>
      <c r="I154" s="120">
        <f t="array" ref="I154">SUMPRODUCT($J$3:$N$3,J154:N154)/SUM(($J$3:$N$3)*(J154:N154&lt;&gt;"."))</f>
        <v>97.663894376745802</v>
      </c>
      <c r="J154" s="139">
        <v>98.417182691923443</v>
      </c>
      <c r="K154" s="139">
        <v>98.674999999999997</v>
      </c>
      <c r="L154" s="139">
        <v>97.479713509724917</v>
      </c>
      <c r="M154" s="139">
        <v>100</v>
      </c>
      <c r="N154" s="139">
        <v>96.910606061568174</v>
      </c>
      <c r="O154" s="124">
        <v>94.3</v>
      </c>
      <c r="Q154" s="115">
        <f t="shared" si="25"/>
        <v>97.495699657908517</v>
      </c>
      <c r="R154" s="87" t="str">
        <f t="shared" si="21"/>
        <v>.</v>
      </c>
      <c r="S154" s="87">
        <f t="shared" si="22"/>
        <v>97.495699657908517</v>
      </c>
    </row>
    <row r="155" spans="2:24" ht="20.25" customHeight="1">
      <c r="B155" s="125"/>
      <c r="C155" s="142" t="s">
        <v>172</v>
      </c>
      <c r="D155" s="138" t="s">
        <v>274</v>
      </c>
      <c r="E155" s="118">
        <f t="shared" si="23"/>
        <v>22</v>
      </c>
      <c r="F155" s="118">
        <f t="shared" si="24"/>
        <v>22</v>
      </c>
      <c r="G155" s="138">
        <f t="shared" si="26"/>
        <v>8</v>
      </c>
      <c r="H155" s="119">
        <f t="array" ref="H155">SUMPRODUCT($J$3:$O$3,J155:O155)/SUM(($J$3:$O$3)*(J155:O155&lt;&gt;"."))</f>
        <v>97.281984574519186</v>
      </c>
      <c r="I155" s="120">
        <f t="array" ref="I155">SUMPRODUCT($J$3:$N$3,J155:N155)/SUM(($J$3:$N$3)*(J155:N155&lt;&gt;"."))</f>
        <v>97.275773236335993</v>
      </c>
      <c r="J155" s="139">
        <v>97.631007751937972</v>
      </c>
      <c r="K155" s="139">
        <v>98.203787878787878</v>
      </c>
      <c r="L155" s="139">
        <v>96.383522727272734</v>
      </c>
      <c r="M155" s="139">
        <v>98.530263157894723</v>
      </c>
      <c r="N155" s="139">
        <v>96.920538720734015</v>
      </c>
      <c r="O155" s="124">
        <v>97.4</v>
      </c>
      <c r="Q155" s="115">
        <f t="shared" si="25"/>
        <v>97.281984574519186</v>
      </c>
      <c r="R155" s="87" t="str">
        <f t="shared" si="21"/>
        <v>.</v>
      </c>
      <c r="S155" s="87">
        <f t="shared" si="22"/>
        <v>97.281984574519186</v>
      </c>
    </row>
    <row r="156" spans="2:24" ht="20.25" customHeight="1">
      <c r="B156" s="125"/>
      <c r="C156" s="142" t="s">
        <v>173</v>
      </c>
      <c r="D156" s="138" t="s">
        <v>274</v>
      </c>
      <c r="E156" s="118">
        <f t="shared" si="23"/>
        <v>25</v>
      </c>
      <c r="F156" s="118">
        <f t="shared" si="24"/>
        <v>25</v>
      </c>
      <c r="G156" s="138">
        <f t="shared" si="26"/>
        <v>10</v>
      </c>
      <c r="H156" s="119">
        <f t="array" ref="H156">SUMPRODUCT($J$3:$O$3,J156:O156)/SUM(($J$3:$O$3)*(J156:O156&lt;&gt;"."))</f>
        <v>97.171682394279273</v>
      </c>
      <c r="I156" s="120">
        <f t="array" ref="I156">SUMPRODUCT($J$3:$N$3,J156:N156)/SUM(($J$3:$N$3)*(J156:N156&lt;&gt;"."))</f>
        <v>97.291244625557127</v>
      </c>
      <c r="J156" s="139">
        <v>96.038507769493435</v>
      </c>
      <c r="K156" s="139">
        <v>96.115530303030283</v>
      </c>
      <c r="L156" s="139">
        <v>96.350368731563435</v>
      </c>
      <c r="M156" s="139">
        <v>95.081578947368428</v>
      </c>
      <c r="N156" s="139">
        <v>98.543981481620804</v>
      </c>
      <c r="O156" s="124">
        <v>94.9</v>
      </c>
      <c r="Q156" s="115">
        <f t="shared" si="25"/>
        <v>97.171682394279273</v>
      </c>
      <c r="R156" s="87" t="str">
        <f t="shared" si="21"/>
        <v>.</v>
      </c>
      <c r="S156" s="87">
        <f t="shared" si="22"/>
        <v>97.171682394279273</v>
      </c>
    </row>
    <row r="157" spans="2:24" ht="20.25" customHeight="1">
      <c r="B157" s="125"/>
      <c r="C157" s="142" t="s">
        <v>170</v>
      </c>
      <c r="D157" s="138" t="s">
        <v>274</v>
      </c>
      <c r="E157" s="118">
        <f t="shared" si="23"/>
        <v>79</v>
      </c>
      <c r="F157" s="118">
        <f t="shared" si="24"/>
        <v>68</v>
      </c>
      <c r="G157" s="138">
        <f t="shared" si="26"/>
        <v>19</v>
      </c>
      <c r="H157" s="119">
        <f t="array" ref="H157">SUMPRODUCT($J$3:$O$3,J157:O157)/SUM(($J$3:$O$3)*(J157:O157&lt;&gt;"."))</f>
        <v>96.043846128316375</v>
      </c>
      <c r="I157" s="120">
        <f t="array" ref="I157">SUMPRODUCT($J$3:$N$3,J157:N157)/SUM(($J$3:$N$3)*(J157:N157&lt;&gt;"."))</f>
        <v>96.156680135069877</v>
      </c>
      <c r="J157" s="139">
        <v>96.26900000000002</v>
      </c>
      <c r="K157" s="139">
        <v>96.733076923076922</v>
      </c>
      <c r="L157" s="139">
        <v>96.904878048780489</v>
      </c>
      <c r="M157" s="139">
        <v>93.309210526315795</v>
      </c>
      <c r="N157" s="139">
        <v>96.04436027013972</v>
      </c>
      <c r="O157" s="124">
        <v>93.9</v>
      </c>
      <c r="Q157" s="115">
        <f t="shared" si="25"/>
        <v>96.043846128316375</v>
      </c>
      <c r="R157" s="87" t="str">
        <f t="shared" si="21"/>
        <v>.</v>
      </c>
      <c r="S157" s="87">
        <f t="shared" si="22"/>
        <v>96.043846128316375</v>
      </c>
    </row>
    <row r="158" spans="2:24" ht="20.25" customHeight="1">
      <c r="B158" s="125"/>
      <c r="C158" s="142" t="s">
        <v>171</v>
      </c>
      <c r="D158" s="138" t="s">
        <v>274</v>
      </c>
      <c r="E158" s="118">
        <f t="shared" si="23"/>
        <v>24</v>
      </c>
      <c r="F158" s="118">
        <f t="shared" si="24"/>
        <v>24</v>
      </c>
      <c r="G158" s="138">
        <f t="shared" si="26"/>
        <v>9</v>
      </c>
      <c r="H158" s="119">
        <f t="array" ref="H158">SUMPRODUCT($J$3:$O$3,J158:O158)/SUM(($J$3:$O$3)*(J158:O158&lt;&gt;"."))</f>
        <v>97.207357650726038</v>
      </c>
      <c r="I158" s="120">
        <f t="array" ref="I158">SUMPRODUCT($J$3:$N$3,J158:N158)/SUM(($J$3:$N$3)*(J158:N158&lt;&gt;"."))</f>
        <v>97.39721857971162</v>
      </c>
      <c r="J158" s="139">
        <v>97.227644230769229</v>
      </c>
      <c r="K158" s="139">
        <v>96.704245283018849</v>
      </c>
      <c r="L158" s="139">
        <v>97.630147058823525</v>
      </c>
      <c r="M158" s="139">
        <v>98.054411764705875</v>
      </c>
      <c r="N158" s="139">
        <v>97.566792928654024</v>
      </c>
      <c r="O158" s="124">
        <v>93.6</v>
      </c>
      <c r="Q158" s="115">
        <f t="shared" si="25"/>
        <v>97.207357650726038</v>
      </c>
      <c r="R158" s="87" t="str">
        <f t="shared" si="21"/>
        <v>.</v>
      </c>
      <c r="S158" s="87">
        <f t="shared" si="22"/>
        <v>97.207357650726038</v>
      </c>
    </row>
    <row r="159" spans="2:24" ht="20.25" customHeight="1">
      <c r="B159" s="125"/>
      <c r="C159" s="142" t="s">
        <v>178</v>
      </c>
      <c r="D159" s="138" t="s">
        <v>274</v>
      </c>
      <c r="E159" s="118">
        <f t="shared" si="23"/>
        <v>65</v>
      </c>
      <c r="F159" s="118">
        <f t="shared" si="24"/>
        <v>59</v>
      </c>
      <c r="G159" s="138">
        <f t="shared" si="26"/>
        <v>17</v>
      </c>
      <c r="H159" s="119">
        <f t="array" ref="H159">SUMPRODUCT($J$3:$O$3,J159:O159)/SUM(($J$3:$O$3)*(J159:O159&lt;&gt;"."))</f>
        <v>96.281196667517392</v>
      </c>
      <c r="I159" s="120">
        <f t="array" ref="I159">SUMPRODUCT($J$3:$N$3,J159:N159)/SUM(($J$3:$N$3)*(J159:N159&lt;&gt;"."))</f>
        <v>96.180207018439361</v>
      </c>
      <c r="J159" s="139">
        <v>96.726323127041624</v>
      </c>
      <c r="K159" s="139">
        <v>97.085560379874451</v>
      </c>
      <c r="L159" s="139">
        <v>96.466800331858394</v>
      </c>
      <c r="M159" s="139">
        <v>96.02000000000001</v>
      </c>
      <c r="N159" s="139">
        <v>95.634090909837099</v>
      </c>
      <c r="O159" s="124">
        <v>98.2</v>
      </c>
      <c r="Q159" s="115">
        <f t="shared" si="25"/>
        <v>96.281196667517392</v>
      </c>
      <c r="R159" s="87" t="str">
        <f t="shared" si="21"/>
        <v>.</v>
      </c>
      <c r="S159" s="87">
        <f t="shared" si="22"/>
        <v>96.281196667517392</v>
      </c>
    </row>
    <row r="160" spans="2:24" ht="20.25" customHeight="1">
      <c r="B160" s="125"/>
      <c r="C160" s="142" t="s">
        <v>169</v>
      </c>
      <c r="D160" s="138" t="s">
        <v>274</v>
      </c>
      <c r="E160" s="118">
        <f t="shared" si="23"/>
        <v>16</v>
      </c>
      <c r="F160" s="118">
        <f t="shared" si="24"/>
        <v>16</v>
      </c>
      <c r="G160" s="138">
        <f t="shared" si="26"/>
        <v>7</v>
      </c>
      <c r="H160" s="119">
        <f t="array" ref="H160">SUMPRODUCT($J$3:$O$3,J160:O160)/SUM(($J$3:$O$3)*(J160:O160&lt;&gt;"."))</f>
        <v>97.417687611020696</v>
      </c>
      <c r="I160" s="120">
        <f t="array" ref="I160">SUMPRODUCT($J$3:$N$3,J160:N160)/SUM(($J$3:$N$3)*(J160:N160&lt;&gt;"."))</f>
        <v>97.497565906337584</v>
      </c>
      <c r="J160" s="139">
        <v>96.408143507972682</v>
      </c>
      <c r="K160" s="139">
        <v>96.636813186813171</v>
      </c>
      <c r="L160" s="139">
        <v>96.252193883266713</v>
      </c>
      <c r="M160" s="139">
        <v>95.870238095238093</v>
      </c>
      <c r="N160" s="139">
        <v>98.586988304702473</v>
      </c>
      <c r="O160" s="124">
        <v>95.9</v>
      </c>
      <c r="Q160" s="115">
        <f t="shared" si="25"/>
        <v>97.417687611020696</v>
      </c>
      <c r="R160" s="87" t="str">
        <f t="shared" si="21"/>
        <v>.</v>
      </c>
      <c r="S160" s="87">
        <f t="shared" si="22"/>
        <v>97.417687611020696</v>
      </c>
    </row>
    <row r="161" spans="2:19" ht="20.25" customHeight="1">
      <c r="B161" s="125"/>
      <c r="C161" s="142" t="s">
        <v>174</v>
      </c>
      <c r="D161" s="138" t="s">
        <v>274</v>
      </c>
      <c r="E161" s="118">
        <f t="shared" si="23"/>
        <v>26</v>
      </c>
      <c r="F161" s="118">
        <f t="shared" si="24"/>
        <v>26</v>
      </c>
      <c r="G161" s="138">
        <f t="shared" si="26"/>
        <v>11</v>
      </c>
      <c r="H161" s="119">
        <f t="array" ref="H161">SUMPRODUCT($J$3:$O$3,J161:O161)/SUM(($J$3:$O$3)*(J161:O161&lt;&gt;"."))</f>
        <v>97.128015858944423</v>
      </c>
      <c r="I161" s="120">
        <f t="array" ref="I161">SUMPRODUCT($J$3:$N$3,J161:N161)/SUM(($J$3:$N$3)*(J161:N161&lt;&gt;"."))</f>
        <v>97.282121956783598</v>
      </c>
      <c r="J161" s="139">
        <v>97.64909239798007</v>
      </c>
      <c r="K161" s="139">
        <v>97.250806451612888</v>
      </c>
      <c r="L161" s="139">
        <v>98.868243243243242</v>
      </c>
      <c r="M161" s="139">
        <v>96.628349767981447</v>
      </c>
      <c r="N161" s="139">
        <v>96.915151515587112</v>
      </c>
      <c r="O161" s="124">
        <v>94.2</v>
      </c>
      <c r="Q161" s="115">
        <f t="shared" si="25"/>
        <v>97.128015858944423</v>
      </c>
      <c r="R161" s="87" t="str">
        <f t="shared" si="21"/>
        <v>.</v>
      </c>
      <c r="S161" s="87">
        <f t="shared" si="22"/>
        <v>97.128015858944423</v>
      </c>
    </row>
    <row r="162" spans="2:19" ht="20.25" customHeight="1">
      <c r="B162" s="125"/>
      <c r="C162" s="142" t="s">
        <v>175</v>
      </c>
      <c r="D162" s="138" t="s">
        <v>274</v>
      </c>
      <c r="E162" s="118">
        <f t="shared" si="23"/>
        <v>36</v>
      </c>
      <c r="F162" s="118">
        <f t="shared" si="24"/>
        <v>36</v>
      </c>
      <c r="G162" s="138">
        <f t="shared" si="26"/>
        <v>13</v>
      </c>
      <c r="H162" s="119">
        <f t="array" ref="H162">SUMPRODUCT($J$3:$O$3,J162:O162)/SUM(($J$3:$O$3)*(J162:O162&lt;&gt;"."))</f>
        <v>96.957719568793067</v>
      </c>
      <c r="I162" s="120">
        <f t="array" ref="I162">SUMPRODUCT($J$3:$N$3,J162:N162)/SUM(($J$3:$N$3)*(J162:N162&lt;&gt;"."))</f>
        <v>96.908125861887441</v>
      </c>
      <c r="J162" s="139">
        <v>96.28742175696091</v>
      </c>
      <c r="K162" s="139">
        <v>96.758712121212099</v>
      </c>
      <c r="L162" s="139">
        <v>95.381167709907189</v>
      </c>
      <c r="M162" s="139">
        <v>96.665624999999991</v>
      </c>
      <c r="N162" s="139">
        <v>97.528829966813959</v>
      </c>
      <c r="O162" s="124">
        <v>97.9</v>
      </c>
      <c r="Q162" s="115">
        <f t="shared" si="25"/>
        <v>96.957719568793067</v>
      </c>
      <c r="R162" s="87" t="str">
        <f t="shared" si="21"/>
        <v>.</v>
      </c>
      <c r="S162" s="87">
        <f t="shared" si="22"/>
        <v>96.957719568793067</v>
      </c>
    </row>
    <row r="163" spans="2:19" ht="20.25" customHeight="1">
      <c r="B163" s="125"/>
      <c r="C163" s="142" t="s">
        <v>180</v>
      </c>
      <c r="D163" s="138" t="s">
        <v>274</v>
      </c>
      <c r="E163" s="118">
        <f t="shared" si="23"/>
        <v>62</v>
      </c>
      <c r="F163" s="118">
        <f t="shared" si="24"/>
        <v>56</v>
      </c>
      <c r="G163" s="138">
        <f t="shared" si="26"/>
        <v>16</v>
      </c>
      <c r="H163" s="119">
        <f t="array" ref="H163">SUMPRODUCT($J$3:$O$3,J163:O163)/SUM(($J$3:$O$3)*(J163:O163&lt;&gt;"."))</f>
        <v>96.324744237378368</v>
      </c>
      <c r="I163" s="120">
        <f t="array" ref="I163">SUMPRODUCT($J$3:$N$3,J163:N163)/SUM(($J$3:$N$3)*(J163:N163&lt;&gt;"."))</f>
        <v>96.247099197240388</v>
      </c>
      <c r="J163" s="139">
        <v>95.745629370629331</v>
      </c>
      <c r="K163" s="139">
        <v>95.480448717948704</v>
      </c>
      <c r="L163" s="139">
        <v>96.180813953488411</v>
      </c>
      <c r="M163" s="139">
        <v>95.835227272727266</v>
      </c>
      <c r="N163" s="139">
        <v>96.748569023851417</v>
      </c>
      <c r="O163" s="124">
        <v>97.8</v>
      </c>
      <c r="Q163" s="115">
        <f t="shared" si="25"/>
        <v>96.324744237378368</v>
      </c>
      <c r="R163" s="87" t="str">
        <f t="shared" si="21"/>
        <v>.</v>
      </c>
      <c r="S163" s="87">
        <f t="shared" si="22"/>
        <v>96.324744237378368</v>
      </c>
    </row>
    <row r="164" spans="2:19" ht="20.25" customHeight="1">
      <c r="B164" s="125"/>
      <c r="C164" s="142" t="s">
        <v>181</v>
      </c>
      <c r="D164" s="138" t="s">
        <v>274</v>
      </c>
      <c r="E164" s="118">
        <f t="shared" si="23"/>
        <v>8</v>
      </c>
      <c r="F164" s="118">
        <f t="shared" si="24"/>
        <v>8</v>
      </c>
      <c r="G164" s="138">
        <f t="shared" si="26"/>
        <v>3</v>
      </c>
      <c r="H164" s="119">
        <f t="array" ref="H164">SUMPRODUCT($J$3:$O$3,J164:O164)/SUM(($J$3:$O$3)*(J164:O164&lt;&gt;"."))</f>
        <v>97.614156185589479</v>
      </c>
      <c r="I164" s="120">
        <f t="array" ref="I164">SUMPRODUCT($J$3:$N$3,J164:N164)/SUM(($J$3:$N$3)*(J164:N164&lt;&gt;"."))</f>
        <v>97.55700651114681</v>
      </c>
      <c r="J164" s="139">
        <v>97.143768914556659</v>
      </c>
      <c r="K164" s="139">
        <v>97.340217391304336</v>
      </c>
      <c r="L164" s="139">
        <v>97.924999999999997</v>
      </c>
      <c r="M164" s="139">
        <v>95.279514125835945</v>
      </c>
      <c r="N164" s="139">
        <v>97.97024410773696</v>
      </c>
      <c r="O164" s="124">
        <v>98.7</v>
      </c>
      <c r="Q164" s="115">
        <f t="shared" si="25"/>
        <v>97.614156185589479</v>
      </c>
      <c r="R164" s="87" t="str">
        <f t="shared" si="21"/>
        <v>.</v>
      </c>
      <c r="S164" s="87">
        <f t="shared" si="22"/>
        <v>97.614156185589479</v>
      </c>
    </row>
    <row r="165" spans="2:19" ht="20.25" customHeight="1">
      <c r="B165" s="125"/>
      <c r="C165" s="142" t="s">
        <v>176</v>
      </c>
      <c r="D165" s="138" t="s">
        <v>274</v>
      </c>
      <c r="E165" s="118">
        <f t="shared" si="23"/>
        <v>61</v>
      </c>
      <c r="F165" s="118">
        <f t="shared" si="24"/>
        <v>55</v>
      </c>
      <c r="G165" s="138">
        <f t="shared" si="26"/>
        <v>15</v>
      </c>
      <c r="H165" s="119">
        <f t="array" ref="H165">SUMPRODUCT($J$3:$O$3,J165:O165)/SUM(($J$3:$O$3)*(J165:O165&lt;&gt;"."))</f>
        <v>96.329788870871596</v>
      </c>
      <c r="I165" s="120">
        <f t="array" ref="I165">SUMPRODUCT($J$3:$N$3,J165:N165)/SUM(($J$3:$N$3)*(J165:N165&lt;&gt;"."))</f>
        <v>96.241883021970096</v>
      </c>
      <c r="J165" s="139">
        <v>96.463590604026876</v>
      </c>
      <c r="K165" s="139">
        <v>96.817666666666682</v>
      </c>
      <c r="L165" s="139">
        <v>94.907211538461539</v>
      </c>
      <c r="M165" s="139">
        <v>98.935227272727261</v>
      </c>
      <c r="N165" s="139">
        <v>96.020175439913345</v>
      </c>
      <c r="O165" s="124">
        <v>98</v>
      </c>
      <c r="Q165" s="115">
        <f t="shared" si="25"/>
        <v>96.329788870871596</v>
      </c>
      <c r="R165" s="87" t="str">
        <f t="shared" si="21"/>
        <v>.</v>
      </c>
      <c r="S165" s="87">
        <f t="shared" si="22"/>
        <v>96.329788870871596</v>
      </c>
    </row>
    <row r="166" spans="2:19" ht="20.25" customHeight="1">
      <c r="B166" s="125"/>
      <c r="C166" s="142" t="s">
        <v>177</v>
      </c>
      <c r="D166" s="138" t="s">
        <v>274</v>
      </c>
      <c r="E166" s="118">
        <f t="shared" si="23"/>
        <v>5</v>
      </c>
      <c r="F166" s="118">
        <f t="shared" si="24"/>
        <v>5</v>
      </c>
      <c r="G166" s="138">
        <f t="shared" si="26"/>
        <v>2</v>
      </c>
      <c r="H166" s="119">
        <f t="array" ref="H166">SUMPRODUCT($J$3:$O$3,J166:O166)/SUM(($J$3:$O$3)*(J166:O166&lt;&gt;"."))</f>
        <v>97.657753540506747</v>
      </c>
      <c r="I166" s="120">
        <f t="array" ref="I166">SUMPRODUCT($J$3:$N$3,J166:N166)/SUM(($J$3:$N$3)*(J166:N166&lt;&gt;"."))</f>
        <v>97.650266884743942</v>
      </c>
      <c r="J166" s="139">
        <v>96.720441176470629</v>
      </c>
      <c r="K166" s="139">
        <v>97.300555555555547</v>
      </c>
      <c r="L166" s="139">
        <v>95.185344827586192</v>
      </c>
      <c r="M166" s="139">
        <v>98.394318181818193</v>
      </c>
      <c r="N166" s="139">
        <v>98.580092593017255</v>
      </c>
      <c r="O166" s="124">
        <v>97.8</v>
      </c>
      <c r="Q166" s="115">
        <f t="shared" si="25"/>
        <v>97.657753540506747</v>
      </c>
      <c r="R166" s="87" t="str">
        <f t="shared" si="21"/>
        <v>.</v>
      </c>
      <c r="S166" s="87">
        <f t="shared" si="22"/>
        <v>97.657753540506747</v>
      </c>
    </row>
    <row r="167" spans="2:19" ht="20.25" customHeight="1">
      <c r="B167" s="125"/>
      <c r="C167" s="142" t="s">
        <v>168</v>
      </c>
      <c r="D167" s="138" t="s">
        <v>274</v>
      </c>
      <c r="E167" s="118">
        <f t="shared" si="23"/>
        <v>34</v>
      </c>
      <c r="F167" s="118">
        <f t="shared" si="24"/>
        <v>34</v>
      </c>
      <c r="G167" s="138">
        <f t="shared" si="26"/>
        <v>12</v>
      </c>
      <c r="H167" s="119">
        <f t="array" ref="H167">SUMPRODUCT($J$3:$O$3,J167:O167)/SUM(($J$3:$O$3)*(J167:O167&lt;&gt;"."))</f>
        <v>96.995398564963395</v>
      </c>
      <c r="I167" s="120">
        <f t="array" ref="I167">SUMPRODUCT($J$3:$N$3,J167:N167)/SUM(($J$3:$N$3)*(J167:N167&lt;&gt;"."))</f>
        <v>97.137261647329893</v>
      </c>
      <c r="J167" s="139">
        <v>96.92780612244897</v>
      </c>
      <c r="K167" s="139">
        <v>97.271000000000001</v>
      </c>
      <c r="L167" s="139">
        <v>95.849218749999991</v>
      </c>
      <c r="M167" s="139">
        <v>98.012500000000003</v>
      </c>
      <c r="N167" s="139">
        <v>97.346717172210845</v>
      </c>
      <c r="O167" s="124">
        <v>94.3</v>
      </c>
      <c r="Q167" s="115">
        <f t="shared" si="25"/>
        <v>96.995398564963395</v>
      </c>
      <c r="R167" s="87" t="str">
        <f t="shared" si="21"/>
        <v>.</v>
      </c>
      <c r="S167" s="87">
        <f t="shared" si="22"/>
        <v>96.995398564963395</v>
      </c>
    </row>
    <row r="168" spans="2:19" ht="20.25" customHeight="1">
      <c r="B168" s="125"/>
      <c r="C168" s="144" t="s">
        <v>164</v>
      </c>
      <c r="D168" s="98" t="s">
        <v>274</v>
      </c>
      <c r="E168" s="145">
        <f t="shared" si="23"/>
        <v>52</v>
      </c>
      <c r="F168" s="145">
        <f t="shared" si="24"/>
        <v>51</v>
      </c>
      <c r="G168" s="98">
        <f t="shared" si="26"/>
        <v>14</v>
      </c>
      <c r="H168" s="146">
        <f t="array" ref="H168">SUMPRODUCT($J$3:$O$3,J168:O168)/SUM(($J$3:$O$3)*(J168:O168&lt;&gt;"."))</f>
        <v>96.45120572477208</v>
      </c>
      <c r="I168" s="147">
        <f t="array" ref="I168">SUMPRODUCT($J$3:$N$3,J168:N168)/SUM(($J$3:$N$3)*(J168:N168&lt;&gt;"."))</f>
        <v>96.359163920812719</v>
      </c>
      <c r="J168" s="148">
        <v>95.965129188146065</v>
      </c>
      <c r="K168" s="148">
        <v>95.695454545454552</v>
      </c>
      <c r="L168" s="148">
        <v>95.45591363501741</v>
      </c>
      <c r="M168" s="148">
        <v>98.318750000000023</v>
      </c>
      <c r="N168" s="148">
        <v>96.753198653479387</v>
      </c>
      <c r="O168" s="149">
        <v>98.2</v>
      </c>
      <c r="Q168" s="115">
        <f t="shared" si="25"/>
        <v>96.45120572477208</v>
      </c>
      <c r="R168" s="87" t="str">
        <f t="shared" si="21"/>
        <v>.</v>
      </c>
      <c r="S168" s="87">
        <f t="shared" si="22"/>
        <v>96.45120572477208</v>
      </c>
    </row>
    <row r="169" spans="2:19" ht="20.25" customHeight="1" thickBot="1">
      <c r="B169" s="126"/>
      <c r="C169" s="143" t="s">
        <v>275</v>
      </c>
      <c r="D169" s="140" t="s">
        <v>274</v>
      </c>
      <c r="E169" s="128">
        <f t="shared" si="23"/>
        <v>9</v>
      </c>
      <c r="F169" s="128">
        <f t="shared" si="24"/>
        <v>9</v>
      </c>
      <c r="G169" s="140">
        <f t="shared" si="26"/>
        <v>4</v>
      </c>
      <c r="H169" s="129">
        <f t="array" ref="H169">SUMPRODUCT($J$3:$O$3,J169:O169)/SUM(($J$3:$O$3)*(J169:O169&lt;&gt;"."))</f>
        <v>97.589099326976424</v>
      </c>
      <c r="I169" s="130">
        <f t="array" ref="I169">SUMPRODUCT($J$3:$N$3,J169:N169)/SUM(($J$3:$N$3)*(J169:N169&lt;&gt;"."))</f>
        <v>97.589099326976424</v>
      </c>
      <c r="J169" s="141" t="s">
        <v>276</v>
      </c>
      <c r="K169" s="141" t="s">
        <v>276</v>
      </c>
      <c r="L169" s="141" t="s">
        <v>276</v>
      </c>
      <c r="M169" s="141" t="s">
        <v>276</v>
      </c>
      <c r="N169" s="141">
        <v>97.589099326976424</v>
      </c>
      <c r="O169" s="134" t="s">
        <v>276</v>
      </c>
      <c r="Q169" s="115">
        <f t="shared" si="25"/>
        <v>97.589099326976424</v>
      </c>
      <c r="R169" s="87" t="str">
        <f t="shared" si="21"/>
        <v>.</v>
      </c>
      <c r="S169" s="87">
        <f t="shared" si="22"/>
        <v>97.589099326976424</v>
      </c>
    </row>
    <row r="170" spans="2:19" ht="20.25" customHeight="1">
      <c r="B170" s="135" t="s">
        <v>269</v>
      </c>
      <c r="C170" s="136"/>
      <c r="D170" s="108" t="s">
        <v>32</v>
      </c>
      <c r="E170" s="108" t="s">
        <v>32</v>
      </c>
      <c r="F170" s="108" t="s">
        <v>32</v>
      </c>
      <c r="G170" s="108" t="s">
        <v>32</v>
      </c>
      <c r="H170" s="109">
        <f t="array" ref="H170">SUMPRODUCT($J$3:$O$3,J170:O170)/SUM(($J$3:$O$3)*(J170:O170&lt;&gt;"."))</f>
        <v>95.780120784442019</v>
      </c>
      <c r="I170" s="110">
        <f t="array" ref="I170">SUMPRODUCT($J$3:$N$3,J170:N170)/SUM(($J$3:$N$3)*(J170:N170&lt;&gt;"."))</f>
        <v>95.648372755553012</v>
      </c>
      <c r="J170" s="137">
        <v>95.618821533965701</v>
      </c>
      <c r="K170" s="137">
        <v>95.993889441423292</v>
      </c>
      <c r="L170" s="137">
        <v>95.118704301280914</v>
      </c>
      <c r="M170" s="137">
        <v>95.325760861339006</v>
      </c>
      <c r="N170" s="137">
        <v>95.677923977140296</v>
      </c>
      <c r="O170" s="114">
        <v>98.283333333333331</v>
      </c>
      <c r="Q170" s="115" t="s">
        <v>270</v>
      </c>
      <c r="R170" s="87" t="str">
        <f t="shared" si="21"/>
        <v>.</v>
      </c>
      <c r="S170" s="87" t="str">
        <f t="shared" si="22"/>
        <v>.</v>
      </c>
    </row>
    <row r="171" spans="2:19" ht="20.25" customHeight="1">
      <c r="B171" s="150" t="s">
        <v>182</v>
      </c>
      <c r="C171" s="142" t="s">
        <v>183</v>
      </c>
      <c r="D171" s="138" t="s">
        <v>271</v>
      </c>
      <c r="E171" s="118">
        <f t="shared" ref="E171:E200" si="27">RANK(H171,$Q$8:$Q$238)</f>
        <v>53</v>
      </c>
      <c r="F171" s="118">
        <f t="shared" ref="F171:F200" si="28">IF(D171="4급",RANK(H171,$R$8:$R$238),IF(D171="5급",RANK(H171,$S$8:$S$238),"-"))</f>
        <v>2</v>
      </c>
      <c r="G171" s="138">
        <f>RANK(H171,$H$171:$H$200)</f>
        <v>11</v>
      </c>
      <c r="H171" s="119">
        <f t="array" ref="H171">SUMPRODUCT($J$3:$O$3,J171:O171)/SUM(($J$3:$O$3)*(J171:O171&lt;&gt;"."))</f>
        <v>96.445396777491951</v>
      </c>
      <c r="I171" s="120">
        <f t="array" ref="I171">SUMPRODUCT($J$3:$N$3,J171:N171)/SUM(($J$3:$N$3)*(J171:N171&lt;&gt;"."))</f>
        <v>96.342522923675745</v>
      </c>
      <c r="J171" s="139">
        <v>95.44199029126213</v>
      </c>
      <c r="K171" s="139">
        <v>95.121460176991121</v>
      </c>
      <c r="L171" s="139">
        <v>96.30074626865671</v>
      </c>
      <c r="M171" s="139">
        <v>94.62211538461537</v>
      </c>
      <c r="N171" s="139">
        <v>97.243055556089317</v>
      </c>
      <c r="O171" s="124">
        <v>98.4</v>
      </c>
      <c r="Q171" s="115">
        <f t="shared" ref="Q171:Q200" si="29">H171</f>
        <v>96.445396777491951</v>
      </c>
      <c r="R171" s="87">
        <f t="shared" si="21"/>
        <v>96.445396777491951</v>
      </c>
      <c r="S171" s="87" t="str">
        <f t="shared" si="22"/>
        <v>.</v>
      </c>
    </row>
    <row r="172" spans="2:19" ht="20.25" customHeight="1">
      <c r="B172" s="151"/>
      <c r="C172" s="142" t="s">
        <v>184</v>
      </c>
      <c r="D172" s="138" t="s">
        <v>271</v>
      </c>
      <c r="E172" s="118">
        <f t="shared" si="27"/>
        <v>128</v>
      </c>
      <c r="F172" s="118">
        <f t="shared" si="28"/>
        <v>35</v>
      </c>
      <c r="G172" s="138">
        <f t="shared" ref="G172:G200" si="30">RANK(H172,$H$171:$H$200)</f>
        <v>22</v>
      </c>
      <c r="H172" s="119">
        <f t="array" ref="H172">SUMPRODUCT($J$3:$O$3,J172:O172)/SUM(($J$3:$O$3)*(J172:O172&lt;&gt;"."))</f>
        <v>95.087199680407323</v>
      </c>
      <c r="I172" s="120">
        <f t="array" ref="I172">SUMPRODUCT($J$3:$N$3,J172:N172)/SUM(($J$3:$N$3)*(J172:N172&lt;&gt;"."))</f>
        <v>94.860210189902446</v>
      </c>
      <c r="J172" s="139">
        <v>93.282794117647057</v>
      </c>
      <c r="K172" s="139">
        <v>93.732258064516117</v>
      </c>
      <c r="L172" s="139">
        <v>92.031818181818196</v>
      </c>
      <c r="M172" s="139">
        <v>94.510227272727292</v>
      </c>
      <c r="N172" s="139">
        <v>96.437626262157806</v>
      </c>
      <c r="O172" s="124">
        <v>99.4</v>
      </c>
      <c r="Q172" s="115">
        <f t="shared" si="29"/>
        <v>95.087199680407323</v>
      </c>
      <c r="R172" s="87">
        <f t="shared" si="21"/>
        <v>95.087199680407323</v>
      </c>
      <c r="S172" s="87" t="str">
        <f t="shared" si="22"/>
        <v>.</v>
      </c>
    </row>
    <row r="173" spans="2:19" ht="20.25" customHeight="1">
      <c r="B173" s="151"/>
      <c r="C173" s="142" t="s">
        <v>185</v>
      </c>
      <c r="D173" s="138" t="s">
        <v>271</v>
      </c>
      <c r="E173" s="118">
        <f t="shared" si="27"/>
        <v>58</v>
      </c>
      <c r="F173" s="118">
        <f t="shared" si="28"/>
        <v>4</v>
      </c>
      <c r="G173" s="138">
        <f t="shared" si="30"/>
        <v>13</v>
      </c>
      <c r="H173" s="119">
        <f t="array" ref="H173">SUMPRODUCT($J$3:$O$3,J173:O173)/SUM(($J$3:$O$3)*(J173:O173&lt;&gt;"."))</f>
        <v>96.400544571994246</v>
      </c>
      <c r="I173" s="120">
        <f t="array" ref="I173">SUMPRODUCT($J$3:$N$3,J173:N173)/SUM(($J$3:$N$3)*(J173:N173&lt;&gt;"."))</f>
        <v>96.232152181046587</v>
      </c>
      <c r="J173" s="139">
        <v>95.741103603603591</v>
      </c>
      <c r="K173" s="139">
        <v>96.643354430379731</v>
      </c>
      <c r="L173" s="139">
        <v>94.29024390243903</v>
      </c>
      <c r="M173" s="139">
        <v>95.085960960960961</v>
      </c>
      <c r="N173" s="139">
        <v>96.723200758489597</v>
      </c>
      <c r="O173" s="124">
        <v>99.6</v>
      </c>
      <c r="Q173" s="115">
        <f t="shared" si="29"/>
        <v>96.400544571994246</v>
      </c>
      <c r="R173" s="87">
        <f t="shared" si="21"/>
        <v>96.400544571994246</v>
      </c>
      <c r="S173" s="87" t="str">
        <f t="shared" si="22"/>
        <v>.</v>
      </c>
    </row>
    <row r="174" spans="2:19" ht="20.25" customHeight="1">
      <c r="B174" s="151"/>
      <c r="C174" s="142" t="s">
        <v>186</v>
      </c>
      <c r="D174" s="138" t="s">
        <v>271</v>
      </c>
      <c r="E174" s="118">
        <f t="shared" si="27"/>
        <v>101</v>
      </c>
      <c r="F174" s="118">
        <f t="shared" si="28"/>
        <v>20</v>
      </c>
      <c r="G174" s="138">
        <f t="shared" si="30"/>
        <v>19</v>
      </c>
      <c r="H174" s="119">
        <f t="array" ref="H174">SUMPRODUCT($J$3:$O$3,J174:O174)/SUM(($J$3:$O$3)*(J174:O174&lt;&gt;"."))</f>
        <v>95.637239529170387</v>
      </c>
      <c r="I174" s="120">
        <f t="array" ref="I174">SUMPRODUCT($J$3:$N$3,J174:N174)/SUM(($J$3:$N$3)*(J174:N174&lt;&gt;"."))</f>
        <v>95.554988978074093</v>
      </c>
      <c r="J174" s="139">
        <v>94.756190076450295</v>
      </c>
      <c r="K174" s="139">
        <v>94.98568952907884</v>
      </c>
      <c r="L174" s="139">
        <v>92.914351851851862</v>
      </c>
      <c r="M174" s="139">
        <v>98.244318181818187</v>
      </c>
      <c r="N174" s="139">
        <v>96.35378787969789</v>
      </c>
      <c r="O174" s="124">
        <v>97.2</v>
      </c>
      <c r="Q174" s="115">
        <f t="shared" si="29"/>
        <v>95.637239529170387</v>
      </c>
      <c r="R174" s="87">
        <f t="shared" si="21"/>
        <v>95.637239529170387</v>
      </c>
      <c r="S174" s="87" t="str">
        <f t="shared" si="22"/>
        <v>.</v>
      </c>
    </row>
    <row r="175" spans="2:19" ht="20.25" customHeight="1">
      <c r="B175" s="151"/>
      <c r="C175" s="142" t="s">
        <v>187</v>
      </c>
      <c r="D175" s="138" t="s">
        <v>271</v>
      </c>
      <c r="E175" s="118">
        <f t="shared" si="27"/>
        <v>178</v>
      </c>
      <c r="F175" s="118">
        <f t="shared" si="28"/>
        <v>75</v>
      </c>
      <c r="G175" s="138">
        <f t="shared" si="30"/>
        <v>28</v>
      </c>
      <c r="H175" s="119">
        <f t="array" ref="H175">SUMPRODUCT($J$3:$O$3,J175:O175)/SUM(($J$3:$O$3)*(J175:O175&lt;&gt;"."))</f>
        <v>94.239155166157659</v>
      </c>
      <c r="I175" s="120">
        <f t="array" ref="I175">SUMPRODUCT($J$3:$N$3,J175:N175)/SUM(($J$3:$N$3)*(J175:N175&lt;&gt;"."))</f>
        <v>94.093847543323847</v>
      </c>
      <c r="J175" s="139">
        <v>93.468219076228777</v>
      </c>
      <c r="K175" s="139">
        <v>94.261384344780197</v>
      </c>
      <c r="L175" s="139">
        <v>92.148732655959776</v>
      </c>
      <c r="M175" s="139">
        <v>93.355833333333337</v>
      </c>
      <c r="N175" s="139">
        <v>94.719476010418887</v>
      </c>
      <c r="O175" s="124">
        <v>97</v>
      </c>
      <c r="Q175" s="115">
        <f t="shared" si="29"/>
        <v>94.239155166157659</v>
      </c>
      <c r="R175" s="87">
        <f t="shared" si="21"/>
        <v>94.239155166157659</v>
      </c>
      <c r="S175" s="87" t="str">
        <f t="shared" si="22"/>
        <v>.</v>
      </c>
    </row>
    <row r="176" spans="2:19" ht="20.25" customHeight="1">
      <c r="B176" s="151"/>
      <c r="C176" s="142" t="s">
        <v>188</v>
      </c>
      <c r="D176" s="138" t="s">
        <v>271</v>
      </c>
      <c r="E176" s="118">
        <f t="shared" si="27"/>
        <v>118</v>
      </c>
      <c r="F176" s="118">
        <f t="shared" si="28"/>
        <v>27</v>
      </c>
      <c r="G176" s="138">
        <f t="shared" si="30"/>
        <v>21</v>
      </c>
      <c r="H176" s="119">
        <f t="array" ref="H176">SUMPRODUCT($J$3:$O$3,J176:O176)/SUM(($J$3:$O$3)*(J176:O176&lt;&gt;"."))</f>
        <v>95.25127968073393</v>
      </c>
      <c r="I176" s="120">
        <f t="array" ref="I176">SUMPRODUCT($J$3:$N$3,J176:N176)/SUM(($J$3:$N$3)*(J176:N176&lt;&gt;"."))</f>
        <v>95.032925979719934</v>
      </c>
      <c r="J176" s="139">
        <v>94.940189079463551</v>
      </c>
      <c r="K176" s="139">
        <v>94.953440366972458</v>
      </c>
      <c r="L176" s="139">
        <v>95.325355433048017</v>
      </c>
      <c r="M176" s="139">
        <v>93.901041666666671</v>
      </c>
      <c r="N176" s="139">
        <v>95.125662879976332</v>
      </c>
      <c r="O176" s="124">
        <v>99.4</v>
      </c>
      <c r="Q176" s="115">
        <f t="shared" si="29"/>
        <v>95.25127968073393</v>
      </c>
      <c r="R176" s="87">
        <f t="shared" si="21"/>
        <v>95.25127968073393</v>
      </c>
      <c r="S176" s="87" t="str">
        <f t="shared" si="22"/>
        <v>.</v>
      </c>
    </row>
    <row r="177" spans="2:19" ht="20.25" customHeight="1">
      <c r="B177" s="151"/>
      <c r="C177" s="142" t="s">
        <v>189</v>
      </c>
      <c r="D177" s="138" t="s">
        <v>271</v>
      </c>
      <c r="E177" s="118">
        <f t="shared" si="27"/>
        <v>172</v>
      </c>
      <c r="F177" s="118">
        <f t="shared" si="28"/>
        <v>69</v>
      </c>
      <c r="G177" s="138">
        <f t="shared" si="30"/>
        <v>27</v>
      </c>
      <c r="H177" s="119">
        <f t="array" ref="H177">SUMPRODUCT($J$3:$O$3,J177:O177)/SUM(($J$3:$O$3)*(J177:O177&lt;&gt;"."))</f>
        <v>94.340677189980156</v>
      </c>
      <c r="I177" s="120">
        <f t="array" ref="I177">SUMPRODUCT($J$3:$N$3,J177:N177)/SUM(($J$3:$N$3)*(J177:N177&lt;&gt;"."))</f>
        <v>94.184923357873856</v>
      </c>
      <c r="J177" s="139">
        <v>94.601601765515397</v>
      </c>
      <c r="K177" s="139">
        <v>94.624082626158369</v>
      </c>
      <c r="L177" s="139">
        <v>93.862408209376781</v>
      </c>
      <c r="M177" s="139">
        <v>96.602272727272748</v>
      </c>
      <c r="N177" s="139">
        <v>93.768244950232329</v>
      </c>
      <c r="O177" s="124">
        <v>97.3</v>
      </c>
      <c r="Q177" s="115">
        <f t="shared" si="29"/>
        <v>94.340677189980156</v>
      </c>
      <c r="R177" s="87">
        <f t="shared" si="21"/>
        <v>94.340677189980156</v>
      </c>
      <c r="S177" s="87" t="str">
        <f t="shared" si="22"/>
        <v>.</v>
      </c>
    </row>
    <row r="178" spans="2:19" ht="20.25" customHeight="1">
      <c r="B178" s="151"/>
      <c r="C178" s="142" t="s">
        <v>190</v>
      </c>
      <c r="D178" s="138" t="s">
        <v>271</v>
      </c>
      <c r="E178" s="118">
        <f t="shared" si="27"/>
        <v>142</v>
      </c>
      <c r="F178" s="118">
        <f t="shared" si="28"/>
        <v>47</v>
      </c>
      <c r="G178" s="138">
        <f t="shared" si="30"/>
        <v>23</v>
      </c>
      <c r="H178" s="119">
        <f t="array" ref="H178">SUMPRODUCT($J$3:$O$3,J178:O178)/SUM(($J$3:$O$3)*(J178:O178&lt;&gt;"."))</f>
        <v>94.848833817233484</v>
      </c>
      <c r="I178" s="120">
        <f t="array" ref="I178">SUMPRODUCT($J$3:$N$3,J178:N178)/SUM(($J$3:$N$3)*(J178:N178&lt;&gt;"."))</f>
        <v>94.898772439193138</v>
      </c>
      <c r="J178" s="139">
        <v>94.524407251952894</v>
      </c>
      <c r="K178" s="139">
        <v>93.779201980251287</v>
      </c>
      <c r="L178" s="139">
        <v>95.260126582278446</v>
      </c>
      <c r="M178" s="139">
        <v>95.526724137931041</v>
      </c>
      <c r="N178" s="139">
        <v>95.273137626433382</v>
      </c>
      <c r="O178" s="124">
        <v>93.9</v>
      </c>
      <c r="Q178" s="115">
        <f t="shared" si="29"/>
        <v>94.848833817233484</v>
      </c>
      <c r="R178" s="87">
        <f t="shared" si="21"/>
        <v>94.848833817233484</v>
      </c>
      <c r="S178" s="87" t="str">
        <f t="shared" si="22"/>
        <v>.</v>
      </c>
    </row>
    <row r="179" spans="2:19" ht="20.25" customHeight="1">
      <c r="B179" s="151"/>
      <c r="C179" s="142" t="s">
        <v>191</v>
      </c>
      <c r="D179" s="138" t="s">
        <v>271</v>
      </c>
      <c r="E179" s="118">
        <f t="shared" si="27"/>
        <v>50</v>
      </c>
      <c r="F179" s="118">
        <f t="shared" si="28"/>
        <v>1</v>
      </c>
      <c r="G179" s="138">
        <f t="shared" si="30"/>
        <v>10</v>
      </c>
      <c r="H179" s="119">
        <f t="array" ref="H179">SUMPRODUCT($J$3:$O$3,J179:O179)/SUM(($J$3:$O$3)*(J179:O179&lt;&gt;"."))</f>
        <v>96.508838305680825</v>
      </c>
      <c r="I179" s="120">
        <f t="array" ref="I179">SUMPRODUCT($J$3:$N$3,J179:N179)/SUM(($J$3:$N$3)*(J179:N179&lt;&gt;"."))</f>
        <v>96.414566637558764</v>
      </c>
      <c r="J179" s="139">
        <v>96.757416102698343</v>
      </c>
      <c r="K179" s="139">
        <v>97.329552188136546</v>
      </c>
      <c r="L179" s="139">
        <v>96.518750000000011</v>
      </c>
      <c r="M179" s="139">
        <v>94.872222222222234</v>
      </c>
      <c r="N179" s="139">
        <v>96.071717172419184</v>
      </c>
      <c r="O179" s="124">
        <v>98.3</v>
      </c>
      <c r="Q179" s="115">
        <f t="shared" si="29"/>
        <v>96.508838305680825</v>
      </c>
      <c r="R179" s="87">
        <f t="shared" si="21"/>
        <v>96.508838305680825</v>
      </c>
      <c r="S179" s="87" t="str">
        <f t="shared" si="22"/>
        <v>.</v>
      </c>
    </row>
    <row r="180" spans="2:19" ht="20.25" customHeight="1">
      <c r="B180" s="151"/>
      <c r="C180" s="142" t="s">
        <v>192</v>
      </c>
      <c r="D180" s="138" t="s">
        <v>271</v>
      </c>
      <c r="E180" s="118">
        <f t="shared" si="27"/>
        <v>150</v>
      </c>
      <c r="F180" s="118">
        <f t="shared" si="28"/>
        <v>54</v>
      </c>
      <c r="G180" s="138">
        <f t="shared" si="30"/>
        <v>24</v>
      </c>
      <c r="H180" s="119">
        <f t="array" ref="H180">SUMPRODUCT($J$3:$O$3,J180:O180)/SUM(($J$3:$O$3)*(J180:O180&lt;&gt;"."))</f>
        <v>94.661524916010734</v>
      </c>
      <c r="I180" s="120">
        <f t="array" ref="I180">SUMPRODUCT($J$3:$N$3,J180:N180)/SUM(($J$3:$N$3)*(J180:N180&lt;&gt;"."))</f>
        <v>94.554236753695506</v>
      </c>
      <c r="J180" s="139">
        <v>95.489470981186159</v>
      </c>
      <c r="K180" s="139">
        <v>95.64962229197036</v>
      </c>
      <c r="L180" s="139">
        <v>96.049657534246549</v>
      </c>
      <c r="M180" s="139">
        <v>93.30462962962963</v>
      </c>
      <c r="N180" s="139">
        <v>93.619002526204852</v>
      </c>
      <c r="O180" s="124">
        <v>96.7</v>
      </c>
      <c r="Q180" s="115">
        <f t="shared" si="29"/>
        <v>94.661524916010734</v>
      </c>
      <c r="R180" s="87">
        <f t="shared" si="21"/>
        <v>94.661524916010734</v>
      </c>
      <c r="S180" s="87" t="str">
        <f t="shared" si="22"/>
        <v>.</v>
      </c>
    </row>
    <row r="181" spans="2:19" ht="20.25" customHeight="1">
      <c r="B181" s="151"/>
      <c r="C181" s="142" t="s">
        <v>193</v>
      </c>
      <c r="D181" s="138" t="s">
        <v>271</v>
      </c>
      <c r="E181" s="118">
        <f t="shared" si="27"/>
        <v>187</v>
      </c>
      <c r="F181" s="118">
        <f t="shared" si="28"/>
        <v>82</v>
      </c>
      <c r="G181" s="138">
        <f t="shared" si="30"/>
        <v>30</v>
      </c>
      <c r="H181" s="119">
        <f t="array" ref="H181">SUMPRODUCT($J$3:$O$3,J181:O181)/SUM(($J$3:$O$3)*(J181:O181&lt;&gt;"."))</f>
        <v>93.974355362817519</v>
      </c>
      <c r="I181" s="120">
        <f t="array" ref="I181">SUMPRODUCT($J$3:$N$3,J181:N181)/SUM(($J$3:$N$3)*(J181:N181&lt;&gt;"."))</f>
        <v>93.699321434544757</v>
      </c>
      <c r="J181" s="139">
        <v>95.117834786994194</v>
      </c>
      <c r="K181" s="139">
        <v>94.88710937499998</v>
      </c>
      <c r="L181" s="139">
        <v>94.814999999999998</v>
      </c>
      <c r="M181" s="139">
        <v>97.105457285115293</v>
      </c>
      <c r="N181" s="139">
        <v>92.280808082095319</v>
      </c>
      <c r="O181" s="124">
        <v>99.2</v>
      </c>
      <c r="Q181" s="115">
        <f t="shared" si="29"/>
        <v>93.974355362817519</v>
      </c>
      <c r="R181" s="87">
        <f t="shared" si="21"/>
        <v>93.974355362817519</v>
      </c>
      <c r="S181" s="87" t="str">
        <f t="shared" si="22"/>
        <v>.</v>
      </c>
    </row>
    <row r="182" spans="2:19" ht="20.25" customHeight="1">
      <c r="B182" s="151"/>
      <c r="C182" s="142" t="s">
        <v>194</v>
      </c>
      <c r="D182" s="138" t="s">
        <v>274</v>
      </c>
      <c r="E182" s="118">
        <f t="shared" si="27"/>
        <v>66</v>
      </c>
      <c r="F182" s="118">
        <f t="shared" si="28"/>
        <v>60</v>
      </c>
      <c r="G182" s="138">
        <f t="shared" si="30"/>
        <v>14</v>
      </c>
      <c r="H182" s="119">
        <f t="array" ref="H182">SUMPRODUCT($J$3:$O$3,J182:O182)/SUM(($J$3:$O$3)*(J182:O182&lt;&gt;"."))</f>
        <v>96.258769841700413</v>
      </c>
      <c r="I182" s="120">
        <f t="array" ref="I182">SUMPRODUCT($J$3:$N$3,J182:N182)/SUM(($J$3:$N$3)*(J182:N182&lt;&gt;"."))</f>
        <v>96.061862991263595</v>
      </c>
      <c r="J182" s="139">
        <v>95.894047619047626</v>
      </c>
      <c r="K182" s="139">
        <v>97.262333333333316</v>
      </c>
      <c r="L182" s="139">
        <v>94.03653846153847</v>
      </c>
      <c r="M182" s="139">
        <v>95.592500000000001</v>
      </c>
      <c r="N182" s="139">
        <v>96.22967836347955</v>
      </c>
      <c r="O182" s="124">
        <v>100</v>
      </c>
      <c r="Q182" s="115">
        <f t="shared" si="29"/>
        <v>96.258769841700413</v>
      </c>
      <c r="R182" s="87" t="str">
        <f t="shared" si="21"/>
        <v>.</v>
      </c>
      <c r="S182" s="87">
        <f t="shared" si="22"/>
        <v>96.258769841700413</v>
      </c>
    </row>
    <row r="183" spans="2:19" ht="20.25" customHeight="1">
      <c r="B183" s="151"/>
      <c r="C183" s="142" t="s">
        <v>195</v>
      </c>
      <c r="D183" s="138" t="s">
        <v>274</v>
      </c>
      <c r="E183" s="118">
        <f t="shared" si="27"/>
        <v>45</v>
      </c>
      <c r="F183" s="118">
        <f t="shared" si="28"/>
        <v>45</v>
      </c>
      <c r="G183" s="138">
        <f t="shared" si="30"/>
        <v>8</v>
      </c>
      <c r="H183" s="119">
        <f t="array" ref="H183">SUMPRODUCT($J$3:$O$3,J183:O183)/SUM(($J$3:$O$3)*(J183:O183&lt;&gt;"."))</f>
        <v>96.607968377738004</v>
      </c>
      <c r="I183" s="120">
        <f t="array" ref="I183">SUMPRODUCT($J$3:$N$3,J183:N183)/SUM(($J$3:$N$3)*(J183:N183&lt;&gt;"."))</f>
        <v>96.608387766039996</v>
      </c>
      <c r="J183" s="139">
        <v>96.752630794626086</v>
      </c>
      <c r="K183" s="139">
        <v>97.318203883495144</v>
      </c>
      <c r="L183" s="139">
        <v>96.117025637688712</v>
      </c>
      <c r="M183" s="139">
        <v>96.069318181818161</v>
      </c>
      <c r="N183" s="139">
        <v>96.464144737453935</v>
      </c>
      <c r="O183" s="124">
        <v>96.6</v>
      </c>
      <c r="Q183" s="115">
        <f t="shared" si="29"/>
        <v>96.607968377738004</v>
      </c>
      <c r="R183" s="87" t="str">
        <f t="shared" si="21"/>
        <v>.</v>
      </c>
      <c r="S183" s="87">
        <f t="shared" si="22"/>
        <v>96.607968377738004</v>
      </c>
    </row>
    <row r="184" spans="2:19" ht="20.25" customHeight="1">
      <c r="B184" s="151"/>
      <c r="C184" s="142" t="s">
        <v>197</v>
      </c>
      <c r="D184" s="138" t="s">
        <v>274</v>
      </c>
      <c r="E184" s="118">
        <f t="shared" si="27"/>
        <v>180</v>
      </c>
      <c r="F184" s="118">
        <f t="shared" si="28"/>
        <v>104</v>
      </c>
      <c r="G184" s="138">
        <f t="shared" si="30"/>
        <v>29</v>
      </c>
      <c r="H184" s="119">
        <f t="array" ref="H184">SUMPRODUCT($J$3:$O$3,J184:O184)/SUM(($J$3:$O$3)*(J184:O184&lt;&gt;"."))</f>
        <v>94.142145737002906</v>
      </c>
      <c r="I184" s="120">
        <f t="array" ref="I184">SUMPRODUCT($J$3:$N$3,J184:N184)/SUM(($J$3:$N$3)*(J184:N184&lt;&gt;"."))</f>
        <v>93.854890249476739</v>
      </c>
      <c r="J184" s="139">
        <v>96.845512820512823</v>
      </c>
      <c r="K184" s="139">
        <v>97.449358974358972</v>
      </c>
      <c r="L184" s="139">
        <v>97.523913043478274</v>
      </c>
      <c r="M184" s="139">
        <v>94.3984375</v>
      </c>
      <c r="N184" s="139">
        <v>90.86426767844064</v>
      </c>
      <c r="O184" s="124">
        <v>99.6</v>
      </c>
      <c r="Q184" s="115">
        <f t="shared" si="29"/>
        <v>94.142145737002906</v>
      </c>
      <c r="R184" s="87" t="str">
        <f t="shared" si="21"/>
        <v>.</v>
      </c>
      <c r="S184" s="87">
        <f t="shared" si="22"/>
        <v>94.142145737002906</v>
      </c>
    </row>
    <row r="185" spans="2:19" ht="20.25" customHeight="1">
      <c r="B185" s="151"/>
      <c r="C185" s="142" t="s">
        <v>198</v>
      </c>
      <c r="D185" s="138" t="s">
        <v>274</v>
      </c>
      <c r="E185" s="118">
        <f t="shared" si="27"/>
        <v>151</v>
      </c>
      <c r="F185" s="118">
        <f t="shared" si="28"/>
        <v>97</v>
      </c>
      <c r="G185" s="138">
        <f t="shared" si="30"/>
        <v>25</v>
      </c>
      <c r="H185" s="119">
        <f t="array" ref="H185">SUMPRODUCT($J$3:$O$3,J185:O185)/SUM(($J$3:$O$3)*(J185:O185&lt;&gt;"."))</f>
        <v>94.647775589206816</v>
      </c>
      <c r="I185" s="120">
        <f t="array" ref="I185">SUMPRODUCT($J$3:$N$3,J185:N185)/SUM(($J$3:$N$3)*(J185:N185&lt;&gt;"."))</f>
        <v>94.64502693600717</v>
      </c>
      <c r="J185" s="139">
        <v>96.268000000000015</v>
      </c>
      <c r="K185" s="139">
        <v>96.648697916666649</v>
      </c>
      <c r="L185" s="139">
        <v>96.223684210526329</v>
      </c>
      <c r="M185" s="139">
        <v>94.721590909090907</v>
      </c>
      <c r="N185" s="139">
        <v>93.02205387201434</v>
      </c>
      <c r="O185" s="124">
        <v>94.7</v>
      </c>
      <c r="Q185" s="115">
        <f t="shared" si="29"/>
        <v>94.647775589206816</v>
      </c>
      <c r="R185" s="87" t="str">
        <f t="shared" si="21"/>
        <v>.</v>
      </c>
      <c r="S185" s="87">
        <f t="shared" si="22"/>
        <v>94.647775589206816</v>
      </c>
    </row>
    <row r="186" spans="2:19" ht="20.25" customHeight="1">
      <c r="B186" s="151"/>
      <c r="C186" s="142" t="s">
        <v>199</v>
      </c>
      <c r="D186" s="138" t="s">
        <v>274</v>
      </c>
      <c r="E186" s="118">
        <f t="shared" si="27"/>
        <v>55</v>
      </c>
      <c r="F186" s="118">
        <f t="shared" si="28"/>
        <v>53</v>
      </c>
      <c r="G186" s="138">
        <f t="shared" si="30"/>
        <v>12</v>
      </c>
      <c r="H186" s="119">
        <f t="array" ref="H186">SUMPRODUCT($J$3:$O$3,J186:O186)/SUM(($J$3:$O$3)*(J186:O186&lt;&gt;"."))</f>
        <v>96.427686807212467</v>
      </c>
      <c r="I186" s="120">
        <f t="array" ref="I186">SUMPRODUCT($J$3:$N$3,J186:N186)/SUM(($J$3:$N$3)*(J186:N186&lt;&gt;"."))</f>
        <v>96.239670323381546</v>
      </c>
      <c r="J186" s="139">
        <v>97.625636942675143</v>
      </c>
      <c r="K186" s="139">
        <v>98.159011627906963</v>
      </c>
      <c r="L186" s="139">
        <v>96.770499999999998</v>
      </c>
      <c r="M186" s="139">
        <v>97.477380952380955</v>
      </c>
      <c r="N186" s="139">
        <v>94.853703704087962</v>
      </c>
      <c r="O186" s="124">
        <v>100</v>
      </c>
      <c r="Q186" s="115">
        <f t="shared" si="29"/>
        <v>96.427686807212467</v>
      </c>
      <c r="R186" s="87" t="str">
        <f t="shared" si="21"/>
        <v>.</v>
      </c>
      <c r="S186" s="87">
        <f t="shared" si="22"/>
        <v>96.427686807212467</v>
      </c>
    </row>
    <row r="187" spans="2:19" ht="20.25" customHeight="1">
      <c r="B187" s="151"/>
      <c r="C187" s="142" t="s">
        <v>200</v>
      </c>
      <c r="D187" s="138" t="s">
        <v>274</v>
      </c>
      <c r="E187" s="118">
        <f t="shared" si="27"/>
        <v>75</v>
      </c>
      <c r="F187" s="118">
        <f t="shared" si="28"/>
        <v>67</v>
      </c>
      <c r="G187" s="138">
        <f t="shared" si="30"/>
        <v>18</v>
      </c>
      <c r="H187" s="119">
        <f t="array" ref="H187">SUMPRODUCT($J$3:$O$3,J187:O187)/SUM(($J$3:$O$3)*(J187:O187&lt;&gt;"."))</f>
        <v>96.073127761036545</v>
      </c>
      <c r="I187" s="120">
        <f t="array" ref="I187">SUMPRODUCT($J$3:$N$3,J187:N187)/SUM(($J$3:$N$3)*(J187:N187&lt;&gt;"."))</f>
        <v>95.892766064248988</v>
      </c>
      <c r="J187" s="139">
        <v>95.818528761061941</v>
      </c>
      <c r="K187" s="139">
        <v>97.234593023255812</v>
      </c>
      <c r="L187" s="139">
        <v>94.38242087895604</v>
      </c>
      <c r="M187" s="139">
        <v>94.207608695652183</v>
      </c>
      <c r="N187" s="139">
        <v>95.967003367436021</v>
      </c>
      <c r="O187" s="124">
        <v>99.5</v>
      </c>
      <c r="Q187" s="115">
        <f t="shared" si="29"/>
        <v>96.073127761036545</v>
      </c>
      <c r="R187" s="87" t="str">
        <f t="shared" si="21"/>
        <v>.</v>
      </c>
      <c r="S187" s="87">
        <f t="shared" si="22"/>
        <v>96.073127761036545</v>
      </c>
    </row>
    <row r="188" spans="2:19" ht="20.25" customHeight="1">
      <c r="B188" s="151"/>
      <c r="C188" s="142" t="s">
        <v>201</v>
      </c>
      <c r="D188" s="138" t="s">
        <v>274</v>
      </c>
      <c r="E188" s="118">
        <f t="shared" si="27"/>
        <v>117</v>
      </c>
      <c r="F188" s="118">
        <f t="shared" si="28"/>
        <v>91</v>
      </c>
      <c r="G188" s="138">
        <f t="shared" si="30"/>
        <v>20</v>
      </c>
      <c r="H188" s="119">
        <f t="array" ref="H188">SUMPRODUCT($J$3:$O$3,J188:O188)/SUM(($J$3:$O$3)*(J188:O188&lt;&gt;"."))</f>
        <v>95.26024422877515</v>
      </c>
      <c r="I188" s="120">
        <f t="array" ref="I188">SUMPRODUCT($J$3:$N$3,J188:N188)/SUM(($J$3:$N$3)*(J188:N188&lt;&gt;"."))</f>
        <v>95.094993925026472</v>
      </c>
      <c r="J188" s="139">
        <v>94.469785829020168</v>
      </c>
      <c r="K188" s="139">
        <v>93.921969696969697</v>
      </c>
      <c r="L188" s="139">
        <v>94.468023255813947</v>
      </c>
      <c r="M188" s="139">
        <v>96.195102751077229</v>
      </c>
      <c r="N188" s="139">
        <v>95.720202021032804</v>
      </c>
      <c r="O188" s="124">
        <v>98.4</v>
      </c>
      <c r="Q188" s="115">
        <f t="shared" si="29"/>
        <v>95.26024422877515</v>
      </c>
      <c r="R188" s="87" t="str">
        <f t="shared" si="21"/>
        <v>.</v>
      </c>
      <c r="S188" s="87">
        <f t="shared" si="22"/>
        <v>95.26024422877515</v>
      </c>
    </row>
    <row r="189" spans="2:19" ht="20.25" customHeight="1">
      <c r="B189" s="151"/>
      <c r="C189" s="142" t="s">
        <v>202</v>
      </c>
      <c r="D189" s="138" t="s">
        <v>274</v>
      </c>
      <c r="E189" s="118">
        <f t="shared" si="27"/>
        <v>23</v>
      </c>
      <c r="F189" s="118">
        <f t="shared" si="28"/>
        <v>23</v>
      </c>
      <c r="G189" s="138">
        <f t="shared" si="30"/>
        <v>3</v>
      </c>
      <c r="H189" s="119">
        <f t="array" ref="H189">SUMPRODUCT($J$3:$O$3,J189:O189)/SUM(($J$3:$O$3)*(J189:O189&lt;&gt;"."))</f>
        <v>97.236667719137301</v>
      </c>
      <c r="I189" s="120">
        <f t="array" ref="I189">SUMPRODUCT($J$3:$N$3,J189:N189)/SUM(($J$3:$N$3)*(J189:N189&lt;&gt;"."))</f>
        <v>97.091229178039256</v>
      </c>
      <c r="J189" s="139">
        <v>97.758552631578937</v>
      </c>
      <c r="K189" s="139">
        <v>98.234913793103431</v>
      </c>
      <c r="L189" s="139">
        <v>96.268421052631581</v>
      </c>
      <c r="M189" s="139">
        <v>99.369444444444454</v>
      </c>
      <c r="N189" s="139">
        <v>96.423905724499576</v>
      </c>
      <c r="O189" s="124">
        <v>100</v>
      </c>
      <c r="Q189" s="115">
        <f t="shared" si="29"/>
        <v>97.236667719137301</v>
      </c>
      <c r="R189" s="87" t="str">
        <f t="shared" si="21"/>
        <v>.</v>
      </c>
      <c r="S189" s="87">
        <f t="shared" si="22"/>
        <v>97.236667719137301</v>
      </c>
    </row>
    <row r="190" spans="2:19" ht="20.25" customHeight="1">
      <c r="B190" s="151"/>
      <c r="C190" s="142" t="s">
        <v>203</v>
      </c>
      <c r="D190" s="138" t="s">
        <v>274</v>
      </c>
      <c r="E190" s="118">
        <f t="shared" si="27"/>
        <v>18</v>
      </c>
      <c r="F190" s="118">
        <f t="shared" si="28"/>
        <v>18</v>
      </c>
      <c r="G190" s="138">
        <f t="shared" si="30"/>
        <v>2</v>
      </c>
      <c r="H190" s="119">
        <f t="array" ref="H190">SUMPRODUCT($J$3:$O$3,J190:O190)/SUM(($J$3:$O$3)*(J190:O190&lt;&gt;"."))</f>
        <v>97.347825964591308</v>
      </c>
      <c r="I190" s="120">
        <f t="array" ref="I190">SUMPRODUCT($J$3:$N$3,J190:N190)/SUM(($J$3:$N$3)*(J190:N190&lt;&gt;"."))</f>
        <v>97.318764173253996</v>
      </c>
      <c r="J190" s="139">
        <v>96.959666393915427</v>
      </c>
      <c r="K190" s="139">
        <v>97.685080815890728</v>
      </c>
      <c r="L190" s="139">
        <v>96.009951941774546</v>
      </c>
      <c r="M190" s="139">
        <v>96.787500000000009</v>
      </c>
      <c r="N190" s="139">
        <v>97.677861952592579</v>
      </c>
      <c r="O190" s="124">
        <v>97.9</v>
      </c>
      <c r="Q190" s="115">
        <f t="shared" si="29"/>
        <v>97.347825964591308</v>
      </c>
      <c r="R190" s="87" t="str">
        <f t="shared" si="21"/>
        <v>.</v>
      </c>
      <c r="S190" s="87">
        <f t="shared" si="22"/>
        <v>97.347825964591308</v>
      </c>
    </row>
    <row r="191" spans="2:19" ht="20.25" customHeight="1">
      <c r="B191" s="151"/>
      <c r="C191" s="142" t="s">
        <v>204</v>
      </c>
      <c r="D191" s="138" t="s">
        <v>274</v>
      </c>
      <c r="E191" s="118">
        <f t="shared" si="27"/>
        <v>73</v>
      </c>
      <c r="F191" s="118">
        <f t="shared" si="28"/>
        <v>66</v>
      </c>
      <c r="G191" s="138">
        <f t="shared" si="30"/>
        <v>17</v>
      </c>
      <c r="H191" s="119">
        <f t="array" ref="H191">SUMPRODUCT($J$3:$O$3,J191:O191)/SUM(($J$3:$O$3)*(J191:O191&lt;&gt;"."))</f>
        <v>96.092738754832936</v>
      </c>
      <c r="I191" s="120">
        <f t="array" ref="I191">SUMPRODUCT($J$3:$N$3,J191:N191)/SUM(($J$3:$N$3)*(J191:N191&lt;&gt;"."))</f>
        <v>95.887093426139927</v>
      </c>
      <c r="J191" s="139">
        <v>94.959708737864062</v>
      </c>
      <c r="K191" s="139">
        <v>95.662037037037038</v>
      </c>
      <c r="L191" s="139">
        <v>95.025714285714287</v>
      </c>
      <c r="M191" s="139">
        <v>92.085714285714275</v>
      </c>
      <c r="N191" s="139">
        <v>96.81447811441582</v>
      </c>
      <c r="O191" s="124">
        <v>100</v>
      </c>
      <c r="Q191" s="115">
        <f t="shared" si="29"/>
        <v>96.092738754832936</v>
      </c>
      <c r="R191" s="87" t="str">
        <f t="shared" si="21"/>
        <v>.</v>
      </c>
      <c r="S191" s="87">
        <f t="shared" si="22"/>
        <v>96.092738754832936</v>
      </c>
    </row>
    <row r="192" spans="2:19" ht="20.25" customHeight="1">
      <c r="B192" s="151"/>
      <c r="C192" s="142" t="s">
        <v>205</v>
      </c>
      <c r="D192" s="138" t="s">
        <v>274</v>
      </c>
      <c r="E192" s="118">
        <f t="shared" si="27"/>
        <v>49</v>
      </c>
      <c r="F192" s="118">
        <f t="shared" si="28"/>
        <v>49</v>
      </c>
      <c r="G192" s="138">
        <f t="shared" si="30"/>
        <v>9</v>
      </c>
      <c r="H192" s="119">
        <f t="array" ref="H192">SUMPRODUCT($J$3:$O$3,J192:O192)/SUM(($J$3:$O$3)*(J192:O192&lt;&gt;"."))</f>
        <v>96.537453827665516</v>
      </c>
      <c r="I192" s="120">
        <f t="array" ref="I192">SUMPRODUCT($J$3:$N$3,J192:N192)/SUM(($J$3:$N$3)*(J192:N192&lt;&gt;"."))</f>
        <v>96.418372450174232</v>
      </c>
      <c r="J192" s="139">
        <v>95.806862745098073</v>
      </c>
      <c r="K192" s="139">
        <v>96.998611111111117</v>
      </c>
      <c r="L192" s="139">
        <v>95.096093750000009</v>
      </c>
      <c r="M192" s="139">
        <v>93.206250000000011</v>
      </c>
      <c r="N192" s="139">
        <v>97.029882155250419</v>
      </c>
      <c r="O192" s="124">
        <v>98.8</v>
      </c>
      <c r="Q192" s="115">
        <f t="shared" si="29"/>
        <v>96.537453827665516</v>
      </c>
      <c r="R192" s="87" t="str">
        <f t="shared" si="21"/>
        <v>.</v>
      </c>
      <c r="S192" s="87">
        <f t="shared" si="22"/>
        <v>96.537453827665516</v>
      </c>
    </row>
    <row r="193" spans="2:19" ht="20.25" customHeight="1">
      <c r="B193" s="151"/>
      <c r="C193" s="142" t="s">
        <v>206</v>
      </c>
      <c r="D193" s="138" t="s">
        <v>274</v>
      </c>
      <c r="E193" s="118">
        <f t="shared" si="27"/>
        <v>6</v>
      </c>
      <c r="F193" s="118">
        <f t="shared" si="28"/>
        <v>6</v>
      </c>
      <c r="G193" s="138">
        <f t="shared" si="30"/>
        <v>1</v>
      </c>
      <c r="H193" s="119">
        <f t="array" ref="H193">SUMPRODUCT($J$3:$O$3,J193:O193)/SUM(($J$3:$O$3)*(J193:O193&lt;&gt;"."))</f>
        <v>97.636309751304182</v>
      </c>
      <c r="I193" s="120">
        <f t="array" ref="I193">SUMPRODUCT($J$3:$N$3,J193:N193)/SUM(($J$3:$N$3)*(J193:N193&lt;&gt;"."))</f>
        <v>97.511905001372824</v>
      </c>
      <c r="J193" s="139">
        <v>97.479281383153065</v>
      </c>
      <c r="K193" s="139">
        <v>97.931465517241378</v>
      </c>
      <c r="L193" s="139">
        <v>95.99308919422451</v>
      </c>
      <c r="M193" s="139">
        <v>100</v>
      </c>
      <c r="N193" s="139">
        <v>97.544528619592583</v>
      </c>
      <c r="O193" s="124">
        <v>100</v>
      </c>
      <c r="Q193" s="115">
        <f t="shared" si="29"/>
        <v>97.636309751304182</v>
      </c>
      <c r="R193" s="87" t="str">
        <f t="shared" si="21"/>
        <v>.</v>
      </c>
      <c r="S193" s="87">
        <f t="shared" si="22"/>
        <v>97.636309751304182</v>
      </c>
    </row>
    <row r="194" spans="2:19" ht="20.25" customHeight="1">
      <c r="B194" s="151"/>
      <c r="C194" s="142" t="s">
        <v>207</v>
      </c>
      <c r="D194" s="138" t="s">
        <v>274</v>
      </c>
      <c r="E194" s="118">
        <f t="shared" si="27"/>
        <v>69</v>
      </c>
      <c r="F194" s="118">
        <f t="shared" si="28"/>
        <v>62</v>
      </c>
      <c r="G194" s="138">
        <f t="shared" si="30"/>
        <v>15</v>
      </c>
      <c r="H194" s="119">
        <f t="array" ref="H194">SUMPRODUCT($J$3:$O$3,J194:O194)/SUM(($J$3:$O$3)*(J194:O194&lt;&gt;"."))</f>
        <v>96.233953396469957</v>
      </c>
      <c r="I194" s="120">
        <f t="array" ref="I194">SUMPRODUCT($J$3:$N$3,J194:N194)/SUM(($J$3:$N$3)*(J194:N194&lt;&gt;"."))</f>
        <v>96.035740417336797</v>
      </c>
      <c r="J194" s="139">
        <v>96.128846153846126</v>
      </c>
      <c r="K194" s="139">
        <v>96.422177419354824</v>
      </c>
      <c r="L194" s="139">
        <v>95.690540540540539</v>
      </c>
      <c r="M194" s="139">
        <v>96.019444444444446</v>
      </c>
      <c r="N194" s="139">
        <v>95.942634680827439</v>
      </c>
      <c r="O194" s="124">
        <v>100</v>
      </c>
      <c r="Q194" s="115">
        <f t="shared" si="29"/>
        <v>96.233953396469957</v>
      </c>
      <c r="R194" s="87" t="str">
        <f t="shared" si="21"/>
        <v>.</v>
      </c>
      <c r="S194" s="87">
        <f t="shared" si="22"/>
        <v>96.233953396469957</v>
      </c>
    </row>
    <row r="195" spans="2:19" ht="20.25" customHeight="1">
      <c r="B195" s="151"/>
      <c r="C195" s="142" t="s">
        <v>208</v>
      </c>
      <c r="D195" s="138" t="s">
        <v>274</v>
      </c>
      <c r="E195" s="118">
        <f t="shared" si="27"/>
        <v>29</v>
      </c>
      <c r="F195" s="118">
        <f t="shared" si="28"/>
        <v>29</v>
      </c>
      <c r="G195" s="138">
        <f t="shared" si="30"/>
        <v>5</v>
      </c>
      <c r="H195" s="119">
        <f t="array" ref="H195">SUMPRODUCT($J$3:$O$3,J195:O195)/SUM(($J$3:$O$3)*(J195:O195&lt;&gt;"."))</f>
        <v>97.095760023803706</v>
      </c>
      <c r="I195" s="120">
        <f t="array" ref="I195">SUMPRODUCT($J$3:$N$3,J195:N195)/SUM(($J$3:$N$3)*(J195:N195&lt;&gt;"."))</f>
        <v>97.011326340846011</v>
      </c>
      <c r="J195" s="139">
        <v>96.98910891089109</v>
      </c>
      <c r="K195" s="139">
        <v>97.402777777777771</v>
      </c>
      <c r="L195" s="139">
        <v>96.826562499999994</v>
      </c>
      <c r="M195" s="139">
        <v>95.846666666666664</v>
      </c>
      <c r="N195" s="139">
        <v>97.033543770800918</v>
      </c>
      <c r="O195" s="124">
        <v>98.7</v>
      </c>
      <c r="Q195" s="115">
        <f t="shared" si="29"/>
        <v>97.095760023803706</v>
      </c>
      <c r="R195" s="87" t="str">
        <f t="shared" si="21"/>
        <v>.</v>
      </c>
      <c r="S195" s="87">
        <f t="shared" si="22"/>
        <v>97.095760023803706</v>
      </c>
    </row>
    <row r="196" spans="2:19" ht="20.25" customHeight="1">
      <c r="B196" s="151"/>
      <c r="C196" s="142" t="s">
        <v>209</v>
      </c>
      <c r="D196" s="138" t="s">
        <v>274</v>
      </c>
      <c r="E196" s="118">
        <f t="shared" si="27"/>
        <v>30</v>
      </c>
      <c r="F196" s="118">
        <f t="shared" si="28"/>
        <v>30</v>
      </c>
      <c r="G196" s="138">
        <f t="shared" si="30"/>
        <v>6</v>
      </c>
      <c r="H196" s="119">
        <f t="array" ref="H196">SUMPRODUCT($J$3:$O$3,J196:O196)/SUM(($J$3:$O$3)*(J196:O196&lt;&gt;"."))</f>
        <v>97.094151514065999</v>
      </c>
      <c r="I196" s="120">
        <f t="array" ref="I196">SUMPRODUCT($J$3:$N$3,J196:N196)/SUM(($J$3:$N$3)*(J196:N196&lt;&gt;"."))</f>
        <v>97.004370014806312</v>
      </c>
      <c r="J196" s="139">
        <v>96.071955517268364</v>
      </c>
      <c r="K196" s="139">
        <v>96.721982758620683</v>
      </c>
      <c r="L196" s="139">
        <v>97.637323606792648</v>
      </c>
      <c r="M196" s="139">
        <v>90.759722222222237</v>
      </c>
      <c r="N196" s="139">
        <v>97.936784512344261</v>
      </c>
      <c r="O196" s="124">
        <v>98.8</v>
      </c>
      <c r="Q196" s="115">
        <f t="shared" si="29"/>
        <v>97.094151514065999</v>
      </c>
      <c r="R196" s="87" t="str">
        <f t="shared" si="21"/>
        <v>.</v>
      </c>
      <c r="S196" s="87">
        <f t="shared" si="22"/>
        <v>97.094151514065999</v>
      </c>
    </row>
    <row r="197" spans="2:19" ht="20.25" customHeight="1">
      <c r="B197" s="151"/>
      <c r="C197" s="142" t="s">
        <v>210</v>
      </c>
      <c r="D197" s="138" t="s">
        <v>274</v>
      </c>
      <c r="E197" s="118">
        <f t="shared" si="27"/>
        <v>31</v>
      </c>
      <c r="F197" s="118">
        <f t="shared" si="28"/>
        <v>31</v>
      </c>
      <c r="G197" s="138">
        <f t="shared" si="30"/>
        <v>7</v>
      </c>
      <c r="H197" s="119">
        <f t="array" ref="H197">SUMPRODUCT($J$3:$O$3,J197:O197)/SUM(($J$3:$O$3)*(J197:O197&lt;&gt;"."))</f>
        <v>97.084989173011422</v>
      </c>
      <c r="I197" s="120">
        <f t="array" ref="I197">SUMPRODUCT($J$3:$N$3,J197:N197)/SUM(($J$3:$N$3)*(J197:N197&lt;&gt;"."))</f>
        <v>97.015778076854119</v>
      </c>
      <c r="J197" s="139">
        <v>96.308870967741939</v>
      </c>
      <c r="K197" s="139">
        <v>97.561224489795919</v>
      </c>
      <c r="L197" s="139">
        <v>95.057258064516134</v>
      </c>
      <c r="M197" s="139">
        <v>94.573076923076911</v>
      </c>
      <c r="N197" s="139">
        <v>97.722685185966327</v>
      </c>
      <c r="O197" s="124">
        <v>98.4</v>
      </c>
      <c r="Q197" s="115">
        <f t="shared" si="29"/>
        <v>97.084989173011422</v>
      </c>
      <c r="R197" s="87" t="str">
        <f t="shared" si="21"/>
        <v>.</v>
      </c>
      <c r="S197" s="87">
        <f t="shared" si="22"/>
        <v>97.084989173011422</v>
      </c>
    </row>
    <row r="198" spans="2:19" ht="20.25" customHeight="1">
      <c r="B198" s="151"/>
      <c r="C198" s="142" t="s">
        <v>211</v>
      </c>
      <c r="D198" s="138" t="s">
        <v>274</v>
      </c>
      <c r="E198" s="118">
        <f t="shared" si="27"/>
        <v>72</v>
      </c>
      <c r="F198" s="118">
        <f t="shared" si="28"/>
        <v>65</v>
      </c>
      <c r="G198" s="138">
        <f t="shared" si="30"/>
        <v>16</v>
      </c>
      <c r="H198" s="119">
        <f t="array" ref="H198">SUMPRODUCT($J$3:$O$3,J198:O198)/SUM(($J$3:$O$3)*(J198:O198&lt;&gt;"."))</f>
        <v>96.14275376033082</v>
      </c>
      <c r="I198" s="120">
        <f t="array" ref="I198">SUMPRODUCT($J$3:$N$3,J198:N198)/SUM(($J$3:$N$3)*(J198:N198&lt;&gt;"."))</f>
        <v>96.113425010874536</v>
      </c>
      <c r="J198" s="139">
        <v>95.364855072463754</v>
      </c>
      <c r="K198" s="139">
        <v>94.897368421052647</v>
      </c>
      <c r="L198" s="139">
        <v>97.958695652173915</v>
      </c>
      <c r="M198" s="139">
        <v>90.128124999999997</v>
      </c>
      <c r="N198" s="139">
        <v>96.861994949285332</v>
      </c>
      <c r="O198" s="124">
        <v>96.7</v>
      </c>
      <c r="Q198" s="115">
        <f t="shared" si="29"/>
        <v>96.14275376033082</v>
      </c>
      <c r="R198" s="87" t="str">
        <f t="shared" si="21"/>
        <v>.</v>
      </c>
      <c r="S198" s="87">
        <f t="shared" si="22"/>
        <v>96.14275376033082</v>
      </c>
    </row>
    <row r="199" spans="2:19" ht="20.25" customHeight="1">
      <c r="B199" s="151"/>
      <c r="C199" s="142" t="s">
        <v>212</v>
      </c>
      <c r="D199" s="138" t="s">
        <v>274</v>
      </c>
      <c r="E199" s="118">
        <f t="shared" si="27"/>
        <v>27</v>
      </c>
      <c r="F199" s="118">
        <f t="shared" si="28"/>
        <v>27</v>
      </c>
      <c r="G199" s="138">
        <f t="shared" si="30"/>
        <v>4</v>
      </c>
      <c r="H199" s="119">
        <f t="array" ref="H199">SUMPRODUCT($J$3:$O$3,J199:O199)/SUM(($J$3:$O$3)*(J199:O199&lt;&gt;"."))</f>
        <v>97.105033933414276</v>
      </c>
      <c r="I199" s="120">
        <f t="array" ref="I199">SUMPRODUCT($J$3:$N$3,J199:N199)/SUM(($J$3:$N$3)*(J199:N199&lt;&gt;"."))</f>
        <v>96.952667298330809</v>
      </c>
      <c r="J199" s="139">
        <v>97.516193181818167</v>
      </c>
      <c r="K199" s="139">
        <v>98.574456521739108</v>
      </c>
      <c r="L199" s="139">
        <v>95.222321428571448</v>
      </c>
      <c r="M199" s="139">
        <v>98.626785714285717</v>
      </c>
      <c r="N199" s="139">
        <v>96.389141414843436</v>
      </c>
      <c r="O199" s="124">
        <v>100</v>
      </c>
      <c r="Q199" s="115">
        <f t="shared" si="29"/>
        <v>97.105033933414276</v>
      </c>
      <c r="R199" s="87" t="str">
        <f t="shared" si="21"/>
        <v>.</v>
      </c>
      <c r="S199" s="87">
        <f t="shared" si="22"/>
        <v>97.105033933414276</v>
      </c>
    </row>
    <row r="200" spans="2:19" ht="20.25" customHeight="1" thickBot="1">
      <c r="B200" s="152"/>
      <c r="C200" s="143" t="s">
        <v>213</v>
      </c>
      <c r="D200" s="140" t="s">
        <v>274</v>
      </c>
      <c r="E200" s="128">
        <f t="shared" si="27"/>
        <v>166</v>
      </c>
      <c r="F200" s="128">
        <f t="shared" si="28"/>
        <v>102</v>
      </c>
      <c r="G200" s="140">
        <f t="shared" si="30"/>
        <v>26</v>
      </c>
      <c r="H200" s="129">
        <f t="array" ref="H200">SUMPRODUCT($J$3:$O$3,J200:O200)/SUM(($J$3:$O$3)*(J200:O200&lt;&gt;"."))</f>
        <v>94.41137920169443</v>
      </c>
      <c r="I200" s="130">
        <f t="array" ref="I200">SUMPRODUCT($J$3:$N$3,J200:N200)/SUM(($J$3:$N$3)*(J200:N200&lt;&gt;"."))</f>
        <v>94.433030738625718</v>
      </c>
      <c r="J200" s="141">
        <v>95.231465517241389</v>
      </c>
      <c r="K200" s="141">
        <v>96.647794117647081</v>
      </c>
      <c r="L200" s="141">
        <v>92.068421052631592</v>
      </c>
      <c r="M200" s="141">
        <v>97.62</v>
      </c>
      <c r="N200" s="141">
        <v>93.634595960010088</v>
      </c>
      <c r="O200" s="134">
        <v>94</v>
      </c>
      <c r="Q200" s="115">
        <f t="shared" si="29"/>
        <v>94.41137920169443</v>
      </c>
      <c r="R200" s="87" t="str">
        <f t="shared" ref="R200:R238" si="31">IF($D200=R$5,H200,".")</f>
        <v>.</v>
      </c>
      <c r="S200" s="87">
        <f t="shared" ref="S200:S238" si="32">IF($D200=S$5,H200,".")</f>
        <v>94.41137920169443</v>
      </c>
    </row>
    <row r="201" spans="2:19" ht="20.25" customHeight="1">
      <c r="B201" s="135" t="s">
        <v>269</v>
      </c>
      <c r="C201" s="136"/>
      <c r="D201" s="108" t="s">
        <v>32</v>
      </c>
      <c r="E201" s="108" t="s">
        <v>32</v>
      </c>
      <c r="F201" s="108" t="s">
        <v>32</v>
      </c>
      <c r="G201" s="108" t="s">
        <v>32</v>
      </c>
      <c r="H201" s="109">
        <f t="array" ref="H201">SUMPRODUCT($J$3:$O$3,J201:O201)/SUM(($J$3:$O$3)*(J201:O201&lt;&gt;"."))</f>
        <v>95.714904857195677</v>
      </c>
      <c r="I201" s="110">
        <f t="array" ref="I201">SUMPRODUCT($J$3:$N$3,J201:N201)/SUM(($J$3:$N$3)*(J201:N201&lt;&gt;"."))</f>
        <v>95.759198095293684</v>
      </c>
      <c r="J201" s="137">
        <v>95.351118510616928</v>
      </c>
      <c r="K201" s="137">
        <v>95.710927285683724</v>
      </c>
      <c r="L201" s="137">
        <v>94.587227484172402</v>
      </c>
      <c r="M201" s="137">
        <v>95.770192980517862</v>
      </c>
      <c r="N201" s="137">
        <v>96.167277679970454</v>
      </c>
      <c r="O201" s="114">
        <v>94.873333333333335</v>
      </c>
      <c r="Q201" s="115" t="s">
        <v>270</v>
      </c>
      <c r="R201" s="87" t="str">
        <f t="shared" si="31"/>
        <v>.</v>
      </c>
      <c r="S201" s="87" t="str">
        <f t="shared" si="32"/>
        <v>.</v>
      </c>
    </row>
    <row r="202" spans="2:19" ht="20.25" customHeight="1">
      <c r="B202" s="150" t="s">
        <v>214</v>
      </c>
      <c r="C202" s="142" t="s">
        <v>215</v>
      </c>
      <c r="D202" s="138" t="s">
        <v>271</v>
      </c>
      <c r="E202" s="118">
        <f t="shared" ref="E202:E216" si="33">RANK(H202,$Q$8:$Q$238)</f>
        <v>145</v>
      </c>
      <c r="F202" s="118">
        <f t="shared" ref="F202:F216" si="34">IF(D202="4급",RANK(H202,$R$8:$R$238),IF(D202="5급",RANK(H202,$S$8:$S$238),"-"))</f>
        <v>50</v>
      </c>
      <c r="G202" s="138">
        <f>RANK(H202,$H$202:$H$216)</f>
        <v>13</v>
      </c>
      <c r="H202" s="119">
        <f t="array" ref="H202">SUMPRODUCT($J$3:$O$3,J202:O202)/SUM(($J$3:$O$3)*(J202:O202&lt;&gt;"."))</f>
        <v>94.75345655416146</v>
      </c>
      <c r="I202" s="120">
        <f t="array" ref="I202">SUMPRODUCT($J$3:$N$3,J202:N202)/SUM(($J$3:$N$3)*(J202:N202&lt;&gt;"."))</f>
        <v>94.787849004380476</v>
      </c>
      <c r="J202" s="139">
        <v>93.496026290918508</v>
      </c>
      <c r="K202" s="139">
        <v>92.889024390243861</v>
      </c>
      <c r="L202" s="139">
        <v>94.47637993100345</v>
      </c>
      <c r="M202" s="139">
        <v>94.196874999999991</v>
      </c>
      <c r="N202" s="139">
        <v>96.079671717842473</v>
      </c>
      <c r="O202" s="124">
        <v>94.1</v>
      </c>
      <c r="Q202" s="115">
        <f t="shared" ref="Q202:Q216" si="35">H202</f>
        <v>94.75345655416146</v>
      </c>
      <c r="R202" s="87">
        <f t="shared" si="31"/>
        <v>94.75345655416146</v>
      </c>
      <c r="S202" s="87" t="str">
        <f t="shared" si="32"/>
        <v>.</v>
      </c>
    </row>
    <row r="203" spans="2:19" ht="20.25" customHeight="1">
      <c r="B203" s="151"/>
      <c r="C203" s="142" t="s">
        <v>216</v>
      </c>
      <c r="D203" s="138" t="s">
        <v>271</v>
      </c>
      <c r="E203" s="118">
        <f t="shared" si="33"/>
        <v>76</v>
      </c>
      <c r="F203" s="118">
        <f t="shared" si="34"/>
        <v>9</v>
      </c>
      <c r="G203" s="138">
        <f t="shared" ref="G203:G216" si="36">RANK(H203,$H$202:$H$216)</f>
        <v>7</v>
      </c>
      <c r="H203" s="119">
        <f t="array" ref="H203">SUMPRODUCT($J$3:$O$3,J203:O203)/SUM(($J$3:$O$3)*(J203:O203&lt;&gt;"."))</f>
        <v>96.072746804208165</v>
      </c>
      <c r="I203" s="120">
        <f t="array" ref="I203">SUMPRODUCT($J$3:$N$3,J203:N203)/SUM(($J$3:$N$3)*(J203:N203&lt;&gt;"."))</f>
        <v>96.055522951798068</v>
      </c>
      <c r="J203" s="139">
        <v>95.163918378002066</v>
      </c>
      <c r="K203" s="139">
        <v>96.554289940828383</v>
      </c>
      <c r="L203" s="139">
        <v>93.294711538461556</v>
      </c>
      <c r="M203" s="139">
        <v>93.370238095238093</v>
      </c>
      <c r="N203" s="139">
        <v>96.94712752559407</v>
      </c>
      <c r="O203" s="124">
        <v>96.4</v>
      </c>
      <c r="Q203" s="115">
        <f t="shared" si="35"/>
        <v>96.072746804208165</v>
      </c>
      <c r="R203" s="87">
        <f t="shared" si="31"/>
        <v>96.072746804208165</v>
      </c>
      <c r="S203" s="87" t="str">
        <f t="shared" si="32"/>
        <v>.</v>
      </c>
    </row>
    <row r="204" spans="2:19" ht="20.25" customHeight="1">
      <c r="B204" s="151"/>
      <c r="C204" s="142" t="s">
        <v>217</v>
      </c>
      <c r="D204" s="138" t="s">
        <v>271</v>
      </c>
      <c r="E204" s="118">
        <f t="shared" si="33"/>
        <v>186</v>
      </c>
      <c r="F204" s="118">
        <f t="shared" si="34"/>
        <v>81</v>
      </c>
      <c r="G204" s="138">
        <f t="shared" si="36"/>
        <v>15</v>
      </c>
      <c r="H204" s="119">
        <f t="array" ref="H204">SUMPRODUCT($J$3:$O$3,J204:O204)/SUM(($J$3:$O$3)*(J204:O204&lt;&gt;"."))</f>
        <v>94.005689720768316</v>
      </c>
      <c r="I204" s="120">
        <f t="array" ref="I204">SUMPRODUCT($J$3:$N$3,J204:N204)/SUM(($J$3:$N$3)*(J204:N204&lt;&gt;"."))</f>
        <v>93.879673390282434</v>
      </c>
      <c r="J204" s="139">
        <v>94.278286173165284</v>
      </c>
      <c r="K204" s="139">
        <v>95.530656346244072</v>
      </c>
      <c r="L204" s="139">
        <v>91.515509193399367</v>
      </c>
      <c r="M204" s="139">
        <v>96.708620689655163</v>
      </c>
      <c r="N204" s="139">
        <v>93.481060607399613</v>
      </c>
      <c r="O204" s="124">
        <v>96.4</v>
      </c>
      <c r="Q204" s="115">
        <f t="shared" si="35"/>
        <v>94.005689720768316</v>
      </c>
      <c r="R204" s="87">
        <f t="shared" si="31"/>
        <v>94.005689720768316</v>
      </c>
      <c r="S204" s="87" t="str">
        <f t="shared" si="32"/>
        <v>.</v>
      </c>
    </row>
    <row r="205" spans="2:19" ht="20.25" customHeight="1">
      <c r="B205" s="151"/>
      <c r="C205" s="142" t="s">
        <v>218</v>
      </c>
      <c r="D205" s="138" t="s">
        <v>271</v>
      </c>
      <c r="E205" s="118">
        <f t="shared" si="33"/>
        <v>135</v>
      </c>
      <c r="F205" s="118">
        <f t="shared" si="34"/>
        <v>41</v>
      </c>
      <c r="G205" s="138">
        <f t="shared" si="36"/>
        <v>12</v>
      </c>
      <c r="H205" s="119">
        <f t="array" ref="H205">SUMPRODUCT($J$3:$O$3,J205:O205)/SUM(($J$3:$O$3)*(J205:O205&lt;&gt;"."))</f>
        <v>94.98311073718051</v>
      </c>
      <c r="I205" s="120">
        <f t="array" ref="I205">SUMPRODUCT($J$3:$N$3,J205:N205)/SUM(($J$3:$N$3)*(J205:N205&lt;&gt;"."))</f>
        <v>95.071695512821577</v>
      </c>
      <c r="J205" s="139">
        <v>94.614224358468945</v>
      </c>
      <c r="K205" s="139">
        <v>95.195658541372566</v>
      </c>
      <c r="L205" s="139">
        <v>93.552411747544468</v>
      </c>
      <c r="M205" s="139">
        <v>95.093181818181819</v>
      </c>
      <c r="N205" s="139">
        <v>95.529166667174238</v>
      </c>
      <c r="O205" s="124">
        <v>93.3</v>
      </c>
      <c r="Q205" s="115">
        <f t="shared" si="35"/>
        <v>94.98311073718051</v>
      </c>
      <c r="R205" s="87">
        <f t="shared" si="31"/>
        <v>94.98311073718051</v>
      </c>
      <c r="S205" s="87" t="str">
        <f t="shared" si="32"/>
        <v>.</v>
      </c>
    </row>
    <row r="206" spans="2:19" ht="20.25" customHeight="1">
      <c r="B206" s="151"/>
      <c r="C206" s="142" t="s">
        <v>219</v>
      </c>
      <c r="D206" s="138" t="s">
        <v>271</v>
      </c>
      <c r="E206" s="118">
        <f t="shared" si="33"/>
        <v>121</v>
      </c>
      <c r="F206" s="118">
        <f t="shared" si="34"/>
        <v>28</v>
      </c>
      <c r="G206" s="138">
        <f t="shared" si="36"/>
        <v>11</v>
      </c>
      <c r="H206" s="119">
        <f t="array" ref="H206">SUMPRODUCT($J$3:$O$3,J206:O206)/SUM(($J$3:$O$3)*(J206:O206&lt;&gt;"."))</f>
        <v>95.1802212955795</v>
      </c>
      <c r="I206" s="120">
        <f t="array" ref="I206">SUMPRODUCT($J$3:$N$3,J206:N206)/SUM(($J$3:$N$3)*(J206:N206&lt;&gt;"."))</f>
        <v>95.337075047978431</v>
      </c>
      <c r="J206" s="139">
        <v>94.7269594397725</v>
      </c>
      <c r="K206" s="139">
        <v>95.43355263157892</v>
      </c>
      <c r="L206" s="139">
        <v>94.728800460661873</v>
      </c>
      <c r="M206" s="139">
        <v>91.218871683647748</v>
      </c>
      <c r="N206" s="139">
        <v>95.947190656184333</v>
      </c>
      <c r="O206" s="124">
        <v>92.2</v>
      </c>
      <c r="Q206" s="115">
        <f t="shared" si="35"/>
        <v>95.1802212955795</v>
      </c>
      <c r="R206" s="87">
        <f t="shared" si="31"/>
        <v>95.1802212955795</v>
      </c>
      <c r="S206" s="87" t="str">
        <f t="shared" si="32"/>
        <v>.</v>
      </c>
    </row>
    <row r="207" spans="2:19" ht="20.25" customHeight="1">
      <c r="B207" s="151"/>
      <c r="C207" s="142" t="s">
        <v>229</v>
      </c>
      <c r="D207" s="138" t="s">
        <v>271</v>
      </c>
      <c r="E207" s="118">
        <f t="shared" si="33"/>
        <v>67</v>
      </c>
      <c r="F207" s="118">
        <f t="shared" si="34"/>
        <v>7</v>
      </c>
      <c r="G207" s="138">
        <f t="shared" si="36"/>
        <v>6</v>
      </c>
      <c r="H207" s="119">
        <f t="array" ref="H207">SUMPRODUCT($J$3:$O$3,J207:O207)/SUM(($J$3:$O$3)*(J207:O207&lt;&gt;"."))</f>
        <v>96.253632951646253</v>
      </c>
      <c r="I207" s="120">
        <f t="array" ref="I207">SUMPRODUCT($J$3:$N$3,J207:N207)/SUM(($J$3:$N$3)*(J207:N207&lt;&gt;"."))</f>
        <v>96.335403106996054</v>
      </c>
      <c r="J207" s="139">
        <v>96.008274647887305</v>
      </c>
      <c r="K207" s="139">
        <v>96.545608108108098</v>
      </c>
      <c r="L207" s="139">
        <v>95.114062500000031</v>
      </c>
      <c r="M207" s="139">
        <v>96.166250000000005</v>
      </c>
      <c r="N207" s="139">
        <v>96.662531566104789</v>
      </c>
      <c r="O207" s="124">
        <v>94.7</v>
      </c>
      <c r="Q207" s="115">
        <f t="shared" si="35"/>
        <v>96.253632951646253</v>
      </c>
      <c r="R207" s="87">
        <f t="shared" si="31"/>
        <v>96.253632951646253</v>
      </c>
      <c r="S207" s="87" t="str">
        <f t="shared" si="32"/>
        <v>.</v>
      </c>
    </row>
    <row r="208" spans="2:19" ht="20.25" customHeight="1">
      <c r="B208" s="151"/>
      <c r="C208" s="142" t="s">
        <v>220</v>
      </c>
      <c r="D208" s="138" t="s">
        <v>274</v>
      </c>
      <c r="E208" s="118">
        <f t="shared" si="33"/>
        <v>35</v>
      </c>
      <c r="F208" s="118">
        <f t="shared" si="34"/>
        <v>35</v>
      </c>
      <c r="G208" s="138">
        <f t="shared" si="36"/>
        <v>2</v>
      </c>
      <c r="H208" s="119">
        <f t="array" ref="H208">SUMPRODUCT($J$3:$O$3,J208:O208)/SUM(($J$3:$O$3)*(J208:O208&lt;&gt;"."))</f>
        <v>96.970191063244869</v>
      </c>
      <c r="I208" s="120">
        <f t="array" ref="I208">SUMPRODUCT($J$3:$N$3,J208:N208)/SUM(($J$3:$N$3)*(J208:N208&lt;&gt;"."))</f>
        <v>97.189674803415656</v>
      </c>
      <c r="J208" s="139">
        <v>96.227329404271984</v>
      </c>
      <c r="K208" s="139">
        <v>96.039893617021278</v>
      </c>
      <c r="L208" s="139">
        <v>95.627254407140114</v>
      </c>
      <c r="M208" s="139">
        <v>98.454423484313537</v>
      </c>
      <c r="N208" s="139">
        <v>98.152020202559328</v>
      </c>
      <c r="O208" s="124">
        <v>92.8</v>
      </c>
      <c r="Q208" s="115">
        <f t="shared" si="35"/>
        <v>96.970191063244869</v>
      </c>
      <c r="R208" s="87" t="str">
        <f t="shared" si="31"/>
        <v>.</v>
      </c>
      <c r="S208" s="87">
        <f t="shared" si="32"/>
        <v>96.970191063244869</v>
      </c>
    </row>
    <row r="209" spans="2:19" ht="20.25" customHeight="1">
      <c r="B209" s="151"/>
      <c r="C209" s="142" t="s">
        <v>221</v>
      </c>
      <c r="D209" s="138" t="s">
        <v>274</v>
      </c>
      <c r="E209" s="118">
        <f t="shared" si="33"/>
        <v>41</v>
      </c>
      <c r="F209" s="118">
        <f t="shared" si="34"/>
        <v>41</v>
      </c>
      <c r="G209" s="138">
        <f t="shared" si="36"/>
        <v>4</v>
      </c>
      <c r="H209" s="119">
        <f t="array" ref="H209">SUMPRODUCT($J$3:$O$3,J209:O209)/SUM(($J$3:$O$3)*(J209:O209&lt;&gt;"."))</f>
        <v>96.749987819262913</v>
      </c>
      <c r="I209" s="120">
        <f t="array" ref="I209">SUMPRODUCT($J$3:$N$3,J209:N209)/SUM(($J$3:$N$3)*(J209:N209&lt;&gt;"."))</f>
        <v>96.726302967645168</v>
      </c>
      <c r="J209" s="139">
        <v>95.731041607910598</v>
      </c>
      <c r="K209" s="139">
        <v>95.622392501325763</v>
      </c>
      <c r="L209" s="139">
        <v>94.88813184340782</v>
      </c>
      <c r="M209" s="139">
        <v>98.332608695652183</v>
      </c>
      <c r="N209" s="139">
        <v>97.721564327379738</v>
      </c>
      <c r="O209" s="124">
        <v>97.2</v>
      </c>
      <c r="Q209" s="115">
        <f t="shared" si="35"/>
        <v>96.749987819262913</v>
      </c>
      <c r="R209" s="87" t="str">
        <f t="shared" si="31"/>
        <v>.</v>
      </c>
      <c r="S209" s="87">
        <f t="shared" si="32"/>
        <v>96.749987819262913</v>
      </c>
    </row>
    <row r="210" spans="2:19" ht="20.25" customHeight="1">
      <c r="B210" s="151"/>
      <c r="C210" s="142" t="s">
        <v>222</v>
      </c>
      <c r="D210" s="138" t="s">
        <v>274</v>
      </c>
      <c r="E210" s="118">
        <f t="shared" si="33"/>
        <v>97</v>
      </c>
      <c r="F210" s="118">
        <f t="shared" si="34"/>
        <v>79</v>
      </c>
      <c r="G210" s="138">
        <f t="shared" si="36"/>
        <v>10</v>
      </c>
      <c r="H210" s="119">
        <f t="array" ref="H210">SUMPRODUCT($J$3:$O$3,J210:O210)/SUM(($J$3:$O$3)*(J210:O210&lt;&gt;"."))</f>
        <v>95.709921726932322</v>
      </c>
      <c r="I210" s="120">
        <f t="array" ref="I210">SUMPRODUCT($J$3:$N$3,J210:N210)/SUM(($J$3:$N$3)*(J210:N210&lt;&gt;"."))</f>
        <v>95.789391291507698</v>
      </c>
      <c r="J210" s="139">
        <v>96.777814569536446</v>
      </c>
      <c r="K210" s="139">
        <v>96.661708860759504</v>
      </c>
      <c r="L210" s="139">
        <v>96.329999999999984</v>
      </c>
      <c r="M210" s="139">
        <v>98.212500000000006</v>
      </c>
      <c r="N210" s="139">
        <v>94.800968013478965</v>
      </c>
      <c r="O210" s="124">
        <v>94.2</v>
      </c>
      <c r="Q210" s="115">
        <f t="shared" si="35"/>
        <v>95.709921726932322</v>
      </c>
      <c r="R210" s="87" t="str">
        <f t="shared" si="31"/>
        <v>.</v>
      </c>
      <c r="S210" s="87">
        <f t="shared" si="32"/>
        <v>95.709921726932322</v>
      </c>
    </row>
    <row r="211" spans="2:19" ht="20.25" customHeight="1">
      <c r="B211" s="151"/>
      <c r="C211" s="142" t="s">
        <v>223</v>
      </c>
      <c r="D211" s="138" t="s">
        <v>274</v>
      </c>
      <c r="E211" s="118">
        <f t="shared" si="33"/>
        <v>92</v>
      </c>
      <c r="F211" s="118">
        <f t="shared" si="34"/>
        <v>76</v>
      </c>
      <c r="G211" s="138">
        <f t="shared" si="36"/>
        <v>9</v>
      </c>
      <c r="H211" s="119">
        <f t="array" ref="H211">SUMPRODUCT($J$3:$O$3,J211:O211)/SUM(($J$3:$O$3)*(J211:O211&lt;&gt;"."))</f>
        <v>95.812806266075498</v>
      </c>
      <c r="I211" s="120">
        <f t="array" ref="I211">SUMPRODUCT($J$3:$N$3,J211:N211)/SUM(($J$3:$N$3)*(J211:N211&lt;&gt;"."))</f>
        <v>95.755585543237359</v>
      </c>
      <c r="J211" s="139">
        <v>96.05031249999999</v>
      </c>
      <c r="K211" s="139">
        <v>96.4</v>
      </c>
      <c r="L211" s="139">
        <v>95.672826086956519</v>
      </c>
      <c r="M211" s="139">
        <v>95.596428571428561</v>
      </c>
      <c r="N211" s="139">
        <v>95.460858586474757</v>
      </c>
      <c r="O211" s="124">
        <v>96.9</v>
      </c>
      <c r="Q211" s="115">
        <f t="shared" si="35"/>
        <v>95.812806266075498</v>
      </c>
      <c r="R211" s="87" t="str">
        <f t="shared" si="31"/>
        <v>.</v>
      </c>
      <c r="S211" s="87">
        <f t="shared" si="32"/>
        <v>95.812806266075498</v>
      </c>
    </row>
    <row r="212" spans="2:19" ht="20.25" customHeight="1">
      <c r="B212" s="151"/>
      <c r="C212" s="142" t="s">
        <v>224</v>
      </c>
      <c r="D212" s="138" t="s">
        <v>274</v>
      </c>
      <c r="E212" s="118">
        <f t="shared" si="33"/>
        <v>39</v>
      </c>
      <c r="F212" s="118">
        <f t="shared" si="34"/>
        <v>39</v>
      </c>
      <c r="G212" s="138">
        <f t="shared" si="36"/>
        <v>3</v>
      </c>
      <c r="H212" s="119">
        <f t="array" ref="H212">SUMPRODUCT($J$3:$O$3,J212:O212)/SUM(($J$3:$O$3)*(J212:O212&lt;&gt;"."))</f>
        <v>96.792017854880328</v>
      </c>
      <c r="I212" s="120">
        <f t="array" ref="I212">SUMPRODUCT($J$3:$N$3,J212:N212)/SUM(($J$3:$N$3)*(J212:N212&lt;&gt;"."))</f>
        <v>96.728439847242441</v>
      </c>
      <c r="J212" s="139">
        <v>96.523504273504273</v>
      </c>
      <c r="K212" s="139">
        <v>97.614754098360649</v>
      </c>
      <c r="L212" s="139">
        <v>97.084722222222226</v>
      </c>
      <c r="M212" s="139">
        <v>92.185000000000016</v>
      </c>
      <c r="N212" s="139">
        <v>96.933375420980624</v>
      </c>
      <c r="O212" s="124">
        <v>98</v>
      </c>
      <c r="Q212" s="115">
        <f t="shared" si="35"/>
        <v>96.792017854880328</v>
      </c>
      <c r="R212" s="87" t="str">
        <f t="shared" si="31"/>
        <v>.</v>
      </c>
      <c r="S212" s="87">
        <f t="shared" si="32"/>
        <v>96.792017854880328</v>
      </c>
    </row>
    <row r="213" spans="2:19" ht="20.25" customHeight="1">
      <c r="B213" s="151"/>
      <c r="C213" s="142" t="s">
        <v>225</v>
      </c>
      <c r="D213" s="138" t="s">
        <v>274</v>
      </c>
      <c r="E213" s="118">
        <f t="shared" si="33"/>
        <v>63</v>
      </c>
      <c r="F213" s="118">
        <f t="shared" si="34"/>
        <v>57</v>
      </c>
      <c r="G213" s="138">
        <f t="shared" si="36"/>
        <v>5</v>
      </c>
      <c r="H213" s="119">
        <f t="array" ref="H213">SUMPRODUCT($J$3:$O$3,J213:O213)/SUM(($J$3:$O$3)*(J213:O213&lt;&gt;"."))</f>
        <v>96.304344668526539</v>
      </c>
      <c r="I213" s="120">
        <f t="array" ref="I213">SUMPRODUCT($J$3:$N$3,J213:N213)/SUM(($J$3:$N$3)*(J213:N213&lt;&gt;"."))</f>
        <v>96.309836493185827</v>
      </c>
      <c r="J213" s="139">
        <v>96.354521471420924</v>
      </c>
      <c r="K213" s="139">
        <v>96.339623199465791</v>
      </c>
      <c r="L213" s="139">
        <v>95.958571428571432</v>
      </c>
      <c r="M213" s="139">
        <v>97.271875000000009</v>
      </c>
      <c r="N213" s="139">
        <v>96.265151514950745</v>
      </c>
      <c r="O213" s="124">
        <v>96.2</v>
      </c>
      <c r="Q213" s="115">
        <f t="shared" si="35"/>
        <v>96.304344668526539</v>
      </c>
      <c r="R213" s="87" t="str">
        <f t="shared" si="31"/>
        <v>.</v>
      </c>
      <c r="S213" s="87">
        <f t="shared" si="32"/>
        <v>96.304344668526539</v>
      </c>
    </row>
    <row r="214" spans="2:19" ht="20.25" customHeight="1">
      <c r="B214" s="151"/>
      <c r="C214" s="142" t="s">
        <v>226</v>
      </c>
      <c r="D214" s="138" t="s">
        <v>274</v>
      </c>
      <c r="E214" s="118">
        <f t="shared" si="33"/>
        <v>17</v>
      </c>
      <c r="F214" s="118">
        <f t="shared" si="34"/>
        <v>17</v>
      </c>
      <c r="G214" s="138">
        <f t="shared" si="36"/>
        <v>1</v>
      </c>
      <c r="H214" s="119">
        <f t="array" ref="H214">SUMPRODUCT($J$3:$O$3,J214:O214)/SUM(($J$3:$O$3)*(J214:O214&lt;&gt;"."))</f>
        <v>97.386096170132419</v>
      </c>
      <c r="I214" s="120">
        <f t="array" ref="I214">SUMPRODUCT($J$3:$N$3,J214:N214)/SUM(($J$3:$N$3)*(J214:N214&lt;&gt;"."))</f>
        <v>97.495890705402545</v>
      </c>
      <c r="J214" s="139">
        <v>97.147631578947369</v>
      </c>
      <c r="K214" s="139">
        <v>97.090816326530614</v>
      </c>
      <c r="L214" s="139">
        <v>96.989166666666677</v>
      </c>
      <c r="M214" s="139">
        <v>97.618749999999991</v>
      </c>
      <c r="N214" s="139">
        <v>97.844149831857735</v>
      </c>
      <c r="O214" s="124">
        <v>95.3</v>
      </c>
      <c r="Q214" s="115">
        <f t="shared" si="35"/>
        <v>97.386096170132419</v>
      </c>
      <c r="R214" s="87" t="str">
        <f t="shared" si="31"/>
        <v>.</v>
      </c>
      <c r="S214" s="87">
        <f t="shared" si="32"/>
        <v>97.386096170132419</v>
      </c>
    </row>
    <row r="215" spans="2:19" ht="20.25" customHeight="1">
      <c r="B215" s="151"/>
      <c r="C215" s="142" t="s">
        <v>227</v>
      </c>
      <c r="D215" s="138" t="s">
        <v>274</v>
      </c>
      <c r="E215" s="118">
        <f t="shared" si="33"/>
        <v>85</v>
      </c>
      <c r="F215" s="118">
        <f t="shared" si="34"/>
        <v>74</v>
      </c>
      <c r="G215" s="138">
        <f t="shared" si="36"/>
        <v>8</v>
      </c>
      <c r="H215" s="119">
        <f t="array" ref="H215">SUMPRODUCT($J$3:$O$3,J215:O215)/SUM(($J$3:$O$3)*(J215:O215&lt;&gt;"."))</f>
        <v>95.964630920288869</v>
      </c>
      <c r="I215" s="120">
        <f t="array" ref="I215">SUMPRODUCT($J$3:$N$3,J215:N215)/SUM(($J$3:$N$3)*(J215:N215&lt;&gt;"."))</f>
        <v>96.315400968725129</v>
      </c>
      <c r="J215" s="139">
        <v>95.464051094890507</v>
      </c>
      <c r="K215" s="139">
        <v>95.340277777777771</v>
      </c>
      <c r="L215" s="139">
        <v>93.877173913043492</v>
      </c>
      <c r="M215" s="139">
        <v>99.774999999999991</v>
      </c>
      <c r="N215" s="139">
        <v>97.16675084255975</v>
      </c>
      <c r="O215" s="124">
        <v>89.3</v>
      </c>
      <c r="Q215" s="115">
        <f t="shared" si="35"/>
        <v>95.964630920288869</v>
      </c>
      <c r="R215" s="87" t="str">
        <f t="shared" si="31"/>
        <v>.</v>
      </c>
      <c r="S215" s="87">
        <f t="shared" si="32"/>
        <v>95.964630920288869</v>
      </c>
    </row>
    <row r="216" spans="2:19" ht="20.25" customHeight="1" thickBot="1">
      <c r="B216" s="152"/>
      <c r="C216" s="143" t="s">
        <v>228</v>
      </c>
      <c r="D216" s="153" t="s">
        <v>274</v>
      </c>
      <c r="E216" s="154">
        <f t="shared" si="33"/>
        <v>155</v>
      </c>
      <c r="F216" s="154">
        <f t="shared" si="34"/>
        <v>99</v>
      </c>
      <c r="G216" s="153">
        <f t="shared" si="36"/>
        <v>14</v>
      </c>
      <c r="H216" s="129">
        <f t="array" ref="H216">SUMPRODUCT($J$3:$O$3,J216:O216)/SUM(($J$3:$O$3)*(J216:O216&lt;&gt;"."))</f>
        <v>94.594205518772938</v>
      </c>
      <c r="I216" s="130">
        <f t="array" ref="I216">SUMPRODUCT($J$3:$N$3,J216:N216)/SUM(($J$3:$N$3)*(J216:N216&lt;&gt;"."))</f>
        <v>94.514953177655727</v>
      </c>
      <c r="J216" s="141">
        <v>94.962187499999999</v>
      </c>
      <c r="K216" s="141">
        <v>95.924404761904768</v>
      </c>
      <c r="L216" s="141">
        <v>94.954807692307696</v>
      </c>
      <c r="M216" s="141">
        <v>91.610416666666666</v>
      </c>
      <c r="N216" s="141">
        <v>94.067718855311441</v>
      </c>
      <c r="O216" s="134">
        <v>96.1</v>
      </c>
      <c r="Q216" s="115">
        <f t="shared" si="35"/>
        <v>94.594205518772938</v>
      </c>
      <c r="R216" s="87" t="str">
        <f t="shared" si="31"/>
        <v>.</v>
      </c>
      <c r="S216" s="87">
        <f t="shared" si="32"/>
        <v>94.594205518772938</v>
      </c>
    </row>
    <row r="217" spans="2:19" ht="20.25" customHeight="1">
      <c r="B217" s="135" t="s">
        <v>269</v>
      </c>
      <c r="C217" s="136"/>
      <c r="D217" s="108" t="s">
        <v>32</v>
      </c>
      <c r="E217" s="108" t="s">
        <v>32</v>
      </c>
      <c r="F217" s="108" t="s">
        <v>32</v>
      </c>
      <c r="G217" s="108" t="s">
        <v>32</v>
      </c>
      <c r="H217" s="109">
        <f t="array" ref="H217">SUMPRODUCT($J$3:$O$3,J217:O217)/SUM(($J$3:$O$3)*(J217:O217&lt;&gt;"."))</f>
        <v>96.119995404947673</v>
      </c>
      <c r="I217" s="110">
        <f t="array" ref="I217">SUMPRODUCT($J$3:$N$3,J217:N217)/SUM(($J$3:$N$3)*(J217:N217&lt;&gt;"."))</f>
        <v>95.978013738954218</v>
      </c>
      <c r="J217" s="137">
        <v>95.389553307789981</v>
      </c>
      <c r="K217" s="137">
        <v>95.337761371061262</v>
      </c>
      <c r="L217" s="137">
        <v>95.404925047296771</v>
      </c>
      <c r="M217" s="137">
        <v>95.545857071454918</v>
      </c>
      <c r="N217" s="137">
        <v>96.566474170118425</v>
      </c>
      <c r="O217" s="114">
        <v>98.817647058823525</v>
      </c>
      <c r="Q217" s="115" t="s">
        <v>270</v>
      </c>
      <c r="R217" s="87" t="str">
        <f t="shared" si="31"/>
        <v>.</v>
      </c>
      <c r="S217" s="87" t="str">
        <f t="shared" si="32"/>
        <v>.</v>
      </c>
    </row>
    <row r="218" spans="2:19" ht="20.25" customHeight="1">
      <c r="B218" s="150" t="s">
        <v>230</v>
      </c>
      <c r="C218" s="142" t="s">
        <v>231</v>
      </c>
      <c r="D218" s="138" t="s">
        <v>271</v>
      </c>
      <c r="E218" s="118">
        <f t="shared" ref="E218:E234" si="37">RANK(H218,$Q$8:$Q$238)</f>
        <v>87</v>
      </c>
      <c r="F218" s="118">
        <f t="shared" ref="F218:F234" si="38">IF(D218="4급",RANK(H218,$R$8:$R$238),IF(D218="5급",RANK(H218,$S$8:$S$238),"-"))</f>
        <v>13</v>
      </c>
      <c r="G218" s="138">
        <f>RANK(H218,$H$218:$H$234)</f>
        <v>12</v>
      </c>
      <c r="H218" s="119">
        <f t="array" ref="H218">SUMPRODUCT($J$3:$O$3,J218:O218)/SUM(($J$3:$O$3)*(J218:O218&lt;&gt;"."))</f>
        <v>95.902851448484839</v>
      </c>
      <c r="I218" s="120">
        <f t="array" ref="I218">SUMPRODUCT($J$3:$N$3,J218:N218)/SUM(($J$3:$N$3)*(J218:N218&lt;&gt;"."))</f>
        <v>95.918790998405086</v>
      </c>
      <c r="J218" s="139">
        <v>94.811982248520692</v>
      </c>
      <c r="K218" s="139">
        <v>95.004301075268799</v>
      </c>
      <c r="L218" s="139">
        <v>94.308636363636367</v>
      </c>
      <c r="M218" s="139">
        <v>95.278571428571425</v>
      </c>
      <c r="N218" s="139">
        <v>97.025599748289466</v>
      </c>
      <c r="O218" s="124">
        <v>95.6</v>
      </c>
      <c r="Q218" s="115">
        <f t="shared" ref="Q218:Q234" si="39">H218</f>
        <v>95.902851448484839</v>
      </c>
      <c r="R218" s="87">
        <f t="shared" si="31"/>
        <v>95.902851448484839</v>
      </c>
      <c r="S218" s="87" t="str">
        <f t="shared" si="32"/>
        <v>.</v>
      </c>
    </row>
    <row r="219" spans="2:19" ht="20.25" customHeight="1">
      <c r="B219" s="151"/>
      <c r="C219" s="142" t="s">
        <v>232</v>
      </c>
      <c r="D219" s="138" t="s">
        <v>271</v>
      </c>
      <c r="E219" s="118">
        <f t="shared" si="37"/>
        <v>175</v>
      </c>
      <c r="F219" s="118">
        <f t="shared" si="38"/>
        <v>72</v>
      </c>
      <c r="G219" s="138">
        <f t="shared" ref="G219:G234" si="40">RANK(H219,$H$218:$H$234)</f>
        <v>17</v>
      </c>
      <c r="H219" s="119">
        <f t="array" ref="H219">SUMPRODUCT($J$3:$O$3,J219:O219)/SUM(($J$3:$O$3)*(J219:O219&lt;&gt;"."))</f>
        <v>94.297524650570352</v>
      </c>
      <c r="I219" s="120">
        <f t="array" ref="I219">SUMPRODUCT($J$3:$N$3,J219:N219)/SUM(($J$3:$N$3)*(J219:N219&lt;&gt;"."))</f>
        <v>94.050025947968791</v>
      </c>
      <c r="J219" s="139">
        <v>93.609805683342898</v>
      </c>
      <c r="K219" s="139">
        <v>93.456904761904724</v>
      </c>
      <c r="L219" s="139">
        <v>93.43442622950819</v>
      </c>
      <c r="M219" s="139">
        <v>94.825839475839487</v>
      </c>
      <c r="N219" s="139">
        <v>94.490246212594684</v>
      </c>
      <c r="O219" s="124">
        <v>99</v>
      </c>
      <c r="Q219" s="115">
        <f t="shared" si="39"/>
        <v>94.297524650570352</v>
      </c>
      <c r="R219" s="87">
        <f t="shared" si="31"/>
        <v>94.297524650570352</v>
      </c>
      <c r="S219" s="87" t="str">
        <f t="shared" si="32"/>
        <v>.</v>
      </c>
    </row>
    <row r="220" spans="2:19" ht="20.25" customHeight="1">
      <c r="B220" s="151"/>
      <c r="C220" s="142" t="s">
        <v>233</v>
      </c>
      <c r="D220" s="138" t="s">
        <v>271</v>
      </c>
      <c r="E220" s="118">
        <f t="shared" si="37"/>
        <v>140</v>
      </c>
      <c r="F220" s="118">
        <f t="shared" si="38"/>
        <v>46</v>
      </c>
      <c r="G220" s="138">
        <f t="shared" si="40"/>
        <v>16</v>
      </c>
      <c r="H220" s="119">
        <f t="array" ref="H220">SUMPRODUCT($J$3:$O$3,J220:O220)/SUM(($J$3:$O$3)*(J220:O220&lt;&gt;"."))</f>
        <v>94.905435357648997</v>
      </c>
      <c r="I220" s="120">
        <f t="array" ref="I220">SUMPRODUCT($J$3:$N$3,J220:N220)/SUM(($J$3:$N$3)*(J220:N220&lt;&gt;"."))</f>
        <v>94.637300376472638</v>
      </c>
      <c r="J220" s="139">
        <v>94.989594438829414</v>
      </c>
      <c r="K220" s="139">
        <v>94.234629784782939</v>
      </c>
      <c r="L220" s="139">
        <v>96.87844827586207</v>
      </c>
      <c r="M220" s="139">
        <v>93.935571976192875</v>
      </c>
      <c r="N220" s="139">
        <v>94.285006314115833</v>
      </c>
      <c r="O220" s="124">
        <v>100</v>
      </c>
      <c r="Q220" s="115">
        <f t="shared" si="39"/>
        <v>94.905435357648997</v>
      </c>
      <c r="R220" s="87">
        <f t="shared" si="31"/>
        <v>94.905435357648997</v>
      </c>
      <c r="S220" s="87" t="str">
        <f t="shared" si="32"/>
        <v>.</v>
      </c>
    </row>
    <row r="221" spans="2:19" ht="20.25" customHeight="1">
      <c r="B221" s="151"/>
      <c r="C221" s="142" t="s">
        <v>234</v>
      </c>
      <c r="D221" s="138" t="s">
        <v>271</v>
      </c>
      <c r="E221" s="118">
        <f t="shared" si="37"/>
        <v>59</v>
      </c>
      <c r="F221" s="118">
        <f t="shared" si="38"/>
        <v>5</v>
      </c>
      <c r="G221" s="138">
        <f t="shared" si="40"/>
        <v>8</v>
      </c>
      <c r="H221" s="119">
        <f t="array" ref="H221">SUMPRODUCT($J$3:$O$3,J221:O221)/SUM(($J$3:$O$3)*(J221:O221&lt;&gt;"."))</f>
        <v>96.39502097004717</v>
      </c>
      <c r="I221" s="120">
        <f t="array" ref="I221">SUMPRODUCT($J$3:$N$3,J221:N221)/SUM(($J$3:$N$3)*(J221:N221&lt;&gt;"."))</f>
        <v>96.226337863207547</v>
      </c>
      <c r="J221" s="139">
        <v>95.743932038834956</v>
      </c>
      <c r="K221" s="139">
        <v>94.732870370370364</v>
      </c>
      <c r="L221" s="139">
        <v>96.925735294117644</v>
      </c>
      <c r="M221" s="139">
        <v>96.704999999999998</v>
      </c>
      <c r="N221" s="139">
        <v>96.708743687580139</v>
      </c>
      <c r="O221" s="124">
        <v>99.6</v>
      </c>
      <c r="Q221" s="115">
        <f t="shared" si="39"/>
        <v>96.39502097004717</v>
      </c>
      <c r="R221" s="87">
        <f t="shared" si="31"/>
        <v>96.39502097004717</v>
      </c>
      <c r="S221" s="87" t="str">
        <f t="shared" si="32"/>
        <v>.</v>
      </c>
    </row>
    <row r="222" spans="2:19" ht="20.25" customHeight="1">
      <c r="B222" s="151"/>
      <c r="C222" s="142" t="s">
        <v>236</v>
      </c>
      <c r="D222" s="138" t="s">
        <v>271</v>
      </c>
      <c r="E222" s="118">
        <f t="shared" si="37"/>
        <v>90</v>
      </c>
      <c r="F222" s="118">
        <f t="shared" si="38"/>
        <v>15</v>
      </c>
      <c r="G222" s="138">
        <f t="shared" si="40"/>
        <v>13</v>
      </c>
      <c r="H222" s="119">
        <f t="array" ref="H222">SUMPRODUCT($J$3:$O$3,J222:O222)/SUM(($J$3:$O$3)*(J222:O222&lt;&gt;"."))</f>
        <v>95.852192838539708</v>
      </c>
      <c r="I222" s="120">
        <f t="array" ref="I222">SUMPRODUCT($J$3:$N$3,J222:N222)/SUM(($J$3:$N$3)*(J222:N222&lt;&gt;"."))</f>
        <v>95.675992461620737</v>
      </c>
      <c r="J222" s="139">
        <v>95.055330882352962</v>
      </c>
      <c r="K222" s="139">
        <v>94.830555555555549</v>
      </c>
      <c r="L222" s="139">
        <v>94.377173913043464</v>
      </c>
      <c r="M222" s="139">
        <v>97.687500000000014</v>
      </c>
      <c r="N222" s="139">
        <v>96.296654040888541</v>
      </c>
      <c r="O222" s="124">
        <v>99.2</v>
      </c>
      <c r="Q222" s="115">
        <f t="shared" si="39"/>
        <v>95.852192838539708</v>
      </c>
      <c r="R222" s="87">
        <f t="shared" si="31"/>
        <v>95.852192838539708</v>
      </c>
      <c r="S222" s="87" t="str">
        <f t="shared" si="32"/>
        <v>.</v>
      </c>
    </row>
    <row r="223" spans="2:19" ht="20.25" customHeight="1">
      <c r="B223" s="151"/>
      <c r="C223" s="142" t="s">
        <v>235</v>
      </c>
      <c r="D223" s="155" t="s">
        <v>274</v>
      </c>
      <c r="E223" s="156">
        <f t="shared" si="37"/>
        <v>13</v>
      </c>
      <c r="F223" s="118">
        <f t="shared" si="38"/>
        <v>13</v>
      </c>
      <c r="G223" s="138">
        <f t="shared" si="40"/>
        <v>2</v>
      </c>
      <c r="H223" s="119">
        <f t="array" ref="H223">SUMPRODUCT($J$3:$O$3,J223:O223)/SUM(($J$3:$O$3)*(J223:O223&lt;&gt;"."))</f>
        <v>97.447426868297043</v>
      </c>
      <c r="I223" s="120">
        <f t="array" ref="I223">SUMPRODUCT($J$3:$N$3,J223:N223)/SUM(($J$3:$N$3)*(J223:N223&lt;&gt;"."))</f>
        <v>97.376238808733731</v>
      </c>
      <c r="J223" s="139">
        <v>95.974115044247796</v>
      </c>
      <c r="K223" s="139">
        <v>95.917063492063505</v>
      </c>
      <c r="L223" s="139">
        <v>95.472794117647055</v>
      </c>
      <c r="M223" s="139">
        <v>97.264062499999994</v>
      </c>
      <c r="N223" s="139">
        <v>98.778362573219667</v>
      </c>
      <c r="O223" s="124">
        <v>98.8</v>
      </c>
      <c r="Q223" s="115">
        <f t="shared" si="39"/>
        <v>97.447426868297043</v>
      </c>
      <c r="R223" s="87" t="str">
        <f t="shared" si="31"/>
        <v>.</v>
      </c>
      <c r="S223" s="87">
        <f t="shared" si="32"/>
        <v>97.447426868297043</v>
      </c>
    </row>
    <row r="224" spans="2:19" ht="20.25" customHeight="1">
      <c r="B224" s="151"/>
      <c r="C224" s="142" t="s">
        <v>237</v>
      </c>
      <c r="D224" s="138" t="s">
        <v>274</v>
      </c>
      <c r="E224" s="118">
        <f t="shared" si="37"/>
        <v>71</v>
      </c>
      <c r="F224" s="118">
        <f t="shared" si="38"/>
        <v>64</v>
      </c>
      <c r="G224" s="138">
        <f t="shared" si="40"/>
        <v>10</v>
      </c>
      <c r="H224" s="119">
        <f t="array" ref="H224">SUMPRODUCT($J$3:$O$3,J224:O224)/SUM(($J$3:$O$3)*(J224:O224&lt;&gt;"."))</f>
        <v>96.162500897779807</v>
      </c>
      <c r="I224" s="120">
        <f t="array" ref="I224">SUMPRODUCT($J$3:$N$3,J224:N224)/SUM(($J$3:$N$3)*(J224:N224&lt;&gt;"."))</f>
        <v>96.155264102926111</v>
      </c>
      <c r="J224" s="139">
        <v>96.174880057572366</v>
      </c>
      <c r="K224" s="139">
        <v>95.474084439469038</v>
      </c>
      <c r="L224" s="139">
        <v>97.44204545454545</v>
      </c>
      <c r="M224" s="139">
        <v>96.045000000000002</v>
      </c>
      <c r="N224" s="139">
        <v>96.13564814827987</v>
      </c>
      <c r="O224" s="124">
        <v>96.3</v>
      </c>
      <c r="Q224" s="115">
        <f t="shared" si="39"/>
        <v>96.162500897779807</v>
      </c>
      <c r="R224" s="87" t="str">
        <f t="shared" si="31"/>
        <v>.</v>
      </c>
      <c r="S224" s="87">
        <f t="shared" si="32"/>
        <v>96.162500897779807</v>
      </c>
    </row>
    <row r="225" spans="2:19" ht="20.25" customHeight="1">
      <c r="B225" s="151"/>
      <c r="C225" s="142" t="s">
        <v>238</v>
      </c>
      <c r="D225" s="138" t="s">
        <v>274</v>
      </c>
      <c r="E225" s="118">
        <f t="shared" si="37"/>
        <v>28</v>
      </c>
      <c r="F225" s="118">
        <f t="shared" si="38"/>
        <v>28</v>
      </c>
      <c r="G225" s="138">
        <f t="shared" si="40"/>
        <v>4</v>
      </c>
      <c r="H225" s="119">
        <f t="array" ref="H225">SUMPRODUCT($J$3:$O$3,J225:O225)/SUM(($J$3:$O$3)*(J225:O225&lt;&gt;"."))</f>
        <v>97.103768850406595</v>
      </c>
      <c r="I225" s="120">
        <f t="array" ref="I225">SUMPRODUCT($J$3:$N$3,J225:N225)/SUM(($J$3:$N$3)*(J225:N225&lt;&gt;"."))</f>
        <v>97.046072474112208</v>
      </c>
      <c r="J225" s="139">
        <v>96.829794520547949</v>
      </c>
      <c r="K225" s="139">
        <v>96.672972972972985</v>
      </c>
      <c r="L225" s="139">
        <v>97.084090909090904</v>
      </c>
      <c r="M225" s="139">
        <v>96.844642857142858</v>
      </c>
      <c r="N225" s="139">
        <v>97.262350427676481</v>
      </c>
      <c r="O225" s="124">
        <v>98.2</v>
      </c>
      <c r="Q225" s="115">
        <f t="shared" si="39"/>
        <v>97.103768850406595</v>
      </c>
      <c r="R225" s="87" t="str">
        <f t="shared" si="31"/>
        <v>.</v>
      </c>
      <c r="S225" s="87">
        <f t="shared" si="32"/>
        <v>97.103768850406595</v>
      </c>
    </row>
    <row r="226" spans="2:19" ht="20.25" customHeight="1">
      <c r="B226" s="151"/>
      <c r="C226" s="142" t="s">
        <v>239</v>
      </c>
      <c r="D226" s="138" t="s">
        <v>274</v>
      </c>
      <c r="E226" s="118">
        <f t="shared" si="37"/>
        <v>51</v>
      </c>
      <c r="F226" s="118">
        <f t="shared" si="38"/>
        <v>50</v>
      </c>
      <c r="G226" s="138">
        <f t="shared" si="40"/>
        <v>7</v>
      </c>
      <c r="H226" s="119">
        <f t="array" ref="H226">SUMPRODUCT($J$3:$O$3,J226:O226)/SUM(($J$3:$O$3)*(J226:O226&lt;&gt;"."))</f>
        <v>96.473376103301092</v>
      </c>
      <c r="I226" s="120">
        <f t="array" ref="I226">SUMPRODUCT($J$3:$N$3,J226:N226)/SUM(($J$3:$N$3)*(J226:N226&lt;&gt;"."))</f>
        <v>96.329869582422205</v>
      </c>
      <c r="J226" s="139">
        <v>96.346818288333452</v>
      </c>
      <c r="K226" s="139">
        <v>97.796515450361596</v>
      </c>
      <c r="L226" s="139">
        <v>94.634848484848504</v>
      </c>
      <c r="M226" s="139">
        <v>94.894242072699157</v>
      </c>
      <c r="N226" s="139">
        <v>96.312920876510958</v>
      </c>
      <c r="O226" s="124">
        <v>99.2</v>
      </c>
      <c r="Q226" s="115">
        <f t="shared" si="39"/>
        <v>96.473376103301092</v>
      </c>
      <c r="R226" s="87" t="str">
        <f t="shared" si="31"/>
        <v>.</v>
      </c>
      <c r="S226" s="87">
        <f t="shared" si="32"/>
        <v>96.473376103301092</v>
      </c>
    </row>
    <row r="227" spans="2:19" ht="20.25" customHeight="1">
      <c r="B227" s="151"/>
      <c r="C227" s="142" t="s">
        <v>240</v>
      </c>
      <c r="D227" s="138" t="s">
        <v>274</v>
      </c>
      <c r="E227" s="118">
        <f t="shared" si="37"/>
        <v>38</v>
      </c>
      <c r="F227" s="118">
        <f t="shared" si="38"/>
        <v>38</v>
      </c>
      <c r="G227" s="138">
        <f t="shared" si="40"/>
        <v>5</v>
      </c>
      <c r="H227" s="119">
        <f t="array" ref="H227">SUMPRODUCT($J$3:$O$3,J227:O227)/SUM(($J$3:$O$3)*(J227:O227&lt;&gt;"."))</f>
        <v>96.831650673366099</v>
      </c>
      <c r="I227" s="120">
        <f t="array" ref="I227">SUMPRODUCT($J$3:$N$3,J227:N227)/SUM(($J$3:$N$3)*(J227:N227&lt;&gt;"."))</f>
        <v>96.733316498280104</v>
      </c>
      <c r="J227" s="139">
        <v>95.786666666666676</v>
      </c>
      <c r="K227" s="139">
        <v>95.655487804878035</v>
      </c>
      <c r="L227" s="139">
        <v>96.133333333333326</v>
      </c>
      <c r="M227" s="139">
        <v>95.492499999999993</v>
      </c>
      <c r="N227" s="139">
        <v>97.679966329893517</v>
      </c>
      <c r="O227" s="124">
        <v>98.7</v>
      </c>
      <c r="Q227" s="115">
        <f t="shared" si="39"/>
        <v>96.831650673366099</v>
      </c>
      <c r="R227" s="87" t="str">
        <f t="shared" si="31"/>
        <v>.</v>
      </c>
      <c r="S227" s="87">
        <f t="shared" si="32"/>
        <v>96.831650673366099</v>
      </c>
    </row>
    <row r="228" spans="2:19" ht="20.25" customHeight="1">
      <c r="B228" s="151"/>
      <c r="C228" s="142" t="s">
        <v>241</v>
      </c>
      <c r="D228" s="138" t="s">
        <v>274</v>
      </c>
      <c r="E228" s="118">
        <f t="shared" si="37"/>
        <v>4</v>
      </c>
      <c r="F228" s="118">
        <f t="shared" si="38"/>
        <v>4</v>
      </c>
      <c r="G228" s="138">
        <f t="shared" si="40"/>
        <v>1</v>
      </c>
      <c r="H228" s="119">
        <f t="array" ref="H228">SUMPRODUCT($J$3:$O$3,J228:O228)/SUM(($J$3:$O$3)*(J228:O228&lt;&gt;"."))</f>
        <v>97.761165369834998</v>
      </c>
      <c r="I228" s="120">
        <f t="array" ref="I228">SUMPRODUCT($J$3:$N$3,J228:N228)/SUM(($J$3:$N$3)*(J228:N228&lt;&gt;"."))</f>
        <v>97.643331968247367</v>
      </c>
      <c r="J228" s="139">
        <v>96.797522522522499</v>
      </c>
      <c r="K228" s="139">
        <v>96.753017241379311</v>
      </c>
      <c r="L228" s="139">
        <v>97.08</v>
      </c>
      <c r="M228" s="139">
        <v>96.39166666666668</v>
      </c>
      <c r="N228" s="139">
        <v>98.48914141397222</v>
      </c>
      <c r="O228" s="124">
        <v>100</v>
      </c>
      <c r="Q228" s="115">
        <f t="shared" si="39"/>
        <v>97.761165369834998</v>
      </c>
      <c r="R228" s="87" t="str">
        <f t="shared" si="31"/>
        <v>.</v>
      </c>
      <c r="S228" s="87">
        <f t="shared" si="32"/>
        <v>97.761165369834998</v>
      </c>
    </row>
    <row r="229" spans="2:19" ht="20.25" customHeight="1">
      <c r="B229" s="151"/>
      <c r="C229" s="142" t="s">
        <v>242</v>
      </c>
      <c r="D229" s="138" t="s">
        <v>274</v>
      </c>
      <c r="E229" s="118">
        <f t="shared" si="37"/>
        <v>64</v>
      </c>
      <c r="F229" s="118">
        <f t="shared" si="38"/>
        <v>58</v>
      </c>
      <c r="G229" s="138">
        <f t="shared" si="40"/>
        <v>9</v>
      </c>
      <c r="H229" s="119">
        <f t="array" ref="H229">SUMPRODUCT($J$3:$O$3,J229:O229)/SUM(($J$3:$O$3)*(J229:O229&lt;&gt;"."))</f>
        <v>96.301468266349914</v>
      </c>
      <c r="I229" s="120">
        <f t="array" ref="I229">SUMPRODUCT($J$3:$N$3,J229:N229)/SUM(($J$3:$N$3)*(J229:N229&lt;&gt;"."))</f>
        <v>96.217335017210431</v>
      </c>
      <c r="J229" s="139">
        <v>96.059333333333328</v>
      </c>
      <c r="K229" s="139">
        <v>95.726785714285711</v>
      </c>
      <c r="L229" s="139">
        <v>97.413636363636357</v>
      </c>
      <c r="M229" s="139">
        <v>94.62045454545455</v>
      </c>
      <c r="N229" s="139">
        <v>96.375336701087548</v>
      </c>
      <c r="O229" s="124">
        <v>97.9</v>
      </c>
      <c r="Q229" s="115">
        <f t="shared" si="39"/>
        <v>96.301468266349914</v>
      </c>
      <c r="R229" s="87" t="str">
        <f t="shared" si="31"/>
        <v>.</v>
      </c>
      <c r="S229" s="87">
        <f t="shared" si="32"/>
        <v>96.301468266349914</v>
      </c>
    </row>
    <row r="230" spans="2:19" ht="20.25" customHeight="1">
      <c r="B230" s="151"/>
      <c r="C230" s="142" t="s">
        <v>243</v>
      </c>
      <c r="D230" s="138" t="s">
        <v>274</v>
      </c>
      <c r="E230" s="118">
        <f t="shared" si="37"/>
        <v>21</v>
      </c>
      <c r="F230" s="118">
        <f t="shared" si="38"/>
        <v>21</v>
      </c>
      <c r="G230" s="138">
        <f t="shared" si="40"/>
        <v>3</v>
      </c>
      <c r="H230" s="119">
        <f t="array" ref="H230">SUMPRODUCT($J$3:$O$3,J230:O230)/SUM(($J$3:$O$3)*(J230:O230&lt;&gt;"."))</f>
        <v>97.292204410113769</v>
      </c>
      <c r="I230" s="120">
        <f t="array" ref="I230">SUMPRODUCT($J$3:$N$3,J230:N230)/SUM(($J$3:$N$3)*(J230:N230&lt;&gt;"."))</f>
        <v>97.149688852751339</v>
      </c>
      <c r="J230" s="139">
        <v>95.896726190476187</v>
      </c>
      <c r="K230" s="139">
        <v>97.467857142857142</v>
      </c>
      <c r="L230" s="139">
        <v>93.745192307692307</v>
      </c>
      <c r="M230" s="139">
        <v>95.268749999999997</v>
      </c>
      <c r="N230" s="139">
        <v>98.402651515026506</v>
      </c>
      <c r="O230" s="124">
        <v>100</v>
      </c>
      <c r="Q230" s="115">
        <f t="shared" si="39"/>
        <v>97.292204410113769</v>
      </c>
      <c r="R230" s="87" t="str">
        <f t="shared" si="31"/>
        <v>.</v>
      </c>
      <c r="S230" s="87">
        <f t="shared" si="32"/>
        <v>97.292204410113769</v>
      </c>
    </row>
    <row r="231" spans="2:19" ht="20.25" customHeight="1">
      <c r="B231" s="151"/>
      <c r="C231" s="142" t="s">
        <v>244</v>
      </c>
      <c r="D231" s="138" t="s">
        <v>274</v>
      </c>
      <c r="E231" s="118">
        <f t="shared" si="37"/>
        <v>80</v>
      </c>
      <c r="F231" s="118">
        <f t="shared" si="38"/>
        <v>69</v>
      </c>
      <c r="G231" s="138">
        <f t="shared" si="40"/>
        <v>11</v>
      </c>
      <c r="H231" s="119">
        <f t="array" ref="H231">SUMPRODUCT($J$3:$O$3,J231:O231)/SUM(($J$3:$O$3)*(J231:O231&lt;&gt;"."))</f>
        <v>96.032078335712171</v>
      </c>
      <c r="I231" s="120">
        <f t="array" ref="I231">SUMPRODUCT($J$3:$N$3,J231:N231)/SUM(($J$3:$N$3)*(J231:N231&lt;&gt;"."))</f>
        <v>95.891661406012815</v>
      </c>
      <c r="J231" s="139">
        <v>95.634375000000006</v>
      </c>
      <c r="K231" s="139">
        <v>96.518229166666671</v>
      </c>
      <c r="L231" s="139">
        <v>94.398148148148152</v>
      </c>
      <c r="M231" s="139">
        <v>94.938461538461539</v>
      </c>
      <c r="N231" s="139">
        <v>96.148947812025639</v>
      </c>
      <c r="O231" s="124">
        <v>98.7</v>
      </c>
      <c r="Q231" s="115">
        <f t="shared" si="39"/>
        <v>96.032078335712171</v>
      </c>
      <c r="R231" s="87" t="str">
        <f t="shared" si="31"/>
        <v>.</v>
      </c>
      <c r="S231" s="87">
        <f t="shared" si="32"/>
        <v>96.032078335712171</v>
      </c>
    </row>
    <row r="232" spans="2:19" ht="20.25" customHeight="1">
      <c r="B232" s="151"/>
      <c r="C232" s="142" t="s">
        <v>245</v>
      </c>
      <c r="D232" s="138" t="s">
        <v>274</v>
      </c>
      <c r="E232" s="118">
        <f t="shared" si="37"/>
        <v>47</v>
      </c>
      <c r="F232" s="118">
        <f t="shared" si="38"/>
        <v>47</v>
      </c>
      <c r="G232" s="138">
        <f t="shared" si="40"/>
        <v>6</v>
      </c>
      <c r="H232" s="119">
        <f t="array" ref="H232">SUMPRODUCT($J$3:$O$3,J232:O232)/SUM(($J$3:$O$3)*(J232:O232&lt;&gt;"."))</f>
        <v>96.579141709904945</v>
      </c>
      <c r="I232" s="120">
        <f t="array" ref="I232">SUMPRODUCT($J$3:$N$3,J232:N232)/SUM(($J$3:$N$3)*(J232:N232&lt;&gt;"."))</f>
        <v>96.467517589373628</v>
      </c>
      <c r="J232" s="139">
        <v>95.018242248661437</v>
      </c>
      <c r="K232" s="139">
        <v>93.984403950107904</v>
      </c>
      <c r="L232" s="139">
        <v>95.919239749430517</v>
      </c>
      <c r="M232" s="139">
        <v>96.403571428571425</v>
      </c>
      <c r="N232" s="139">
        <v>97.916792930085848</v>
      </c>
      <c r="O232" s="124">
        <v>98.7</v>
      </c>
      <c r="Q232" s="115">
        <f t="shared" si="39"/>
        <v>96.579141709904945</v>
      </c>
      <c r="R232" s="87" t="str">
        <f t="shared" si="31"/>
        <v>.</v>
      </c>
      <c r="S232" s="87">
        <f t="shared" si="32"/>
        <v>96.579141709904945</v>
      </c>
    </row>
    <row r="233" spans="2:19" ht="20.25" customHeight="1">
      <c r="B233" s="151"/>
      <c r="C233" s="142" t="s">
        <v>246</v>
      </c>
      <c r="D233" s="138" t="s">
        <v>274</v>
      </c>
      <c r="E233" s="118">
        <f t="shared" si="37"/>
        <v>104</v>
      </c>
      <c r="F233" s="118">
        <f t="shared" si="38"/>
        <v>83</v>
      </c>
      <c r="G233" s="138">
        <f t="shared" si="40"/>
        <v>14</v>
      </c>
      <c r="H233" s="119">
        <f t="array" ref="H233">SUMPRODUCT($J$3:$O$3,J233:O233)/SUM(($J$3:$O$3)*(J233:O233&lt;&gt;"."))</f>
        <v>95.533788064917786</v>
      </c>
      <c r="I233" s="120">
        <f t="array" ref="I233">SUMPRODUCT($J$3:$N$3,J233:N233)/SUM(($J$3:$N$3)*(J233:N233&lt;&gt;"."))</f>
        <v>95.298724278860831</v>
      </c>
      <c r="J233" s="139">
        <v>95.378719600302887</v>
      </c>
      <c r="K233" s="139">
        <v>93.898392919602273</v>
      </c>
      <c r="L233" s="139">
        <v>97.086629472874179</v>
      </c>
      <c r="M233" s="139">
        <v>97.0138477088949</v>
      </c>
      <c r="N233" s="139">
        <v>95.218728957418762</v>
      </c>
      <c r="O233" s="124">
        <v>100</v>
      </c>
      <c r="Q233" s="115">
        <f t="shared" si="39"/>
        <v>95.533788064917786</v>
      </c>
      <c r="R233" s="87" t="str">
        <f t="shared" si="31"/>
        <v>.</v>
      </c>
      <c r="S233" s="87">
        <f t="shared" si="32"/>
        <v>95.533788064917786</v>
      </c>
    </row>
    <row r="234" spans="2:19" ht="20.25" customHeight="1" thickBot="1">
      <c r="B234" s="152"/>
      <c r="C234" s="143" t="s">
        <v>247</v>
      </c>
      <c r="D234" s="140" t="s">
        <v>274</v>
      </c>
      <c r="E234" s="128">
        <f t="shared" si="37"/>
        <v>119</v>
      </c>
      <c r="F234" s="128">
        <f t="shared" si="38"/>
        <v>92</v>
      </c>
      <c r="G234" s="140">
        <f t="shared" si="40"/>
        <v>15</v>
      </c>
      <c r="H234" s="129">
        <f t="array" ref="H234">SUMPRODUCT($J$3:$O$3,J234:O234)/SUM(($J$3:$O$3)*(J234:O234&lt;&gt;"."))</f>
        <v>95.204668030376311</v>
      </c>
      <c r="I234" s="130">
        <f t="array" ref="I234">SUMPRODUCT($J$3:$N$3,J234:N234)/SUM(($J$3:$N$3)*(J234:N234&lt;&gt;"."))</f>
        <v>94.952282137238214</v>
      </c>
      <c r="J234" s="141">
        <v>94.78415181562373</v>
      </c>
      <c r="K234" s="141">
        <v>96.944444444444429</v>
      </c>
      <c r="L234" s="141">
        <v>92.912370490116828</v>
      </c>
      <c r="M234" s="141">
        <v>91.335294117647052</v>
      </c>
      <c r="N234" s="141">
        <v>95.120412458852698</v>
      </c>
      <c r="O234" s="134">
        <v>100</v>
      </c>
      <c r="Q234" s="115">
        <f t="shared" si="39"/>
        <v>95.204668030376311</v>
      </c>
      <c r="R234" s="87" t="str">
        <f t="shared" si="31"/>
        <v>.</v>
      </c>
      <c r="S234" s="87">
        <f t="shared" si="32"/>
        <v>95.204668030376311</v>
      </c>
    </row>
    <row r="235" spans="2:19" ht="20.25" customHeight="1">
      <c r="B235" s="135" t="s">
        <v>269</v>
      </c>
      <c r="C235" s="136"/>
      <c r="D235" s="108" t="s">
        <v>32</v>
      </c>
      <c r="E235" s="108" t="s">
        <v>32</v>
      </c>
      <c r="F235" s="108" t="s">
        <v>32</v>
      </c>
      <c r="G235" s="108" t="s">
        <v>32</v>
      </c>
      <c r="H235" s="109">
        <f t="array" ref="H235">SUMPRODUCT($J$3:$O$3,J235:O235)/SUM(($J$3:$O$3)*(J235:O235&lt;&gt;"."))</f>
        <v>94.47249498075962</v>
      </c>
      <c r="I235" s="110">
        <f t="array" ref="I235">SUMPRODUCT($J$3:$N$3,J235:N235)/SUM(($J$3:$N$3)*(J235:N235&lt;&gt;"."))</f>
        <v>94.418415769220658</v>
      </c>
      <c r="J235" s="137">
        <v>94.032286083418597</v>
      </c>
      <c r="K235" s="137">
        <v>94.313183316962963</v>
      </c>
      <c r="L235" s="137">
        <v>93.325991837509491</v>
      </c>
      <c r="M235" s="137">
        <v>94.462980769230768</v>
      </c>
      <c r="N235" s="137">
        <v>94.804545455022719</v>
      </c>
      <c r="O235" s="114">
        <v>95.5</v>
      </c>
      <c r="Q235" s="115" t="s">
        <v>270</v>
      </c>
      <c r="R235" s="87" t="str">
        <f t="shared" si="31"/>
        <v>.</v>
      </c>
      <c r="S235" s="87" t="str">
        <f t="shared" si="32"/>
        <v>.</v>
      </c>
    </row>
    <row r="236" spans="2:19" ht="20.25" customHeight="1">
      <c r="B236" s="150" t="s">
        <v>248</v>
      </c>
      <c r="C236" s="138" t="s">
        <v>249</v>
      </c>
      <c r="D236" s="138" t="s">
        <v>274</v>
      </c>
      <c r="E236" s="118">
        <f>RANK(H236,$Q$8:$Q$238)</f>
        <v>191</v>
      </c>
      <c r="F236" s="118">
        <f>IF(D236="4급",RANK(H236,$R$8:$R$238),IF(D236="5급",RANK(H236,$S$8:$S$238),"-"))</f>
        <v>107</v>
      </c>
      <c r="G236" s="138">
        <f>RANK(H236,$H$236:$H$238)</f>
        <v>3</v>
      </c>
      <c r="H236" s="119">
        <f t="array" ref="H236">SUMPRODUCT($J$3:$O$3,J236:O236)/SUM(($J$3:$O$3)*(J236:O236&lt;&gt;"."))</f>
        <v>93.872400060806285</v>
      </c>
      <c r="I236" s="120">
        <f t="array" ref="I236">SUMPRODUCT($J$3:$N$3,J236:N236)/SUM(($J$3:$N$3)*(J236:N236&lt;&gt;"."))</f>
        <v>93.749894800848722</v>
      </c>
      <c r="J236" s="139">
        <v>93.894360308702502</v>
      </c>
      <c r="K236" s="139">
        <v>93.861563423212189</v>
      </c>
      <c r="L236" s="139">
        <v>93.811067844609966</v>
      </c>
      <c r="M236" s="139">
        <v>94.25833333333334</v>
      </c>
      <c r="N236" s="139">
        <v>93.605429292994941</v>
      </c>
      <c r="O236" s="124">
        <v>96.2</v>
      </c>
      <c r="Q236" s="115">
        <f t="shared" ref="Q236:Q238" si="41">H236</f>
        <v>93.872400060806285</v>
      </c>
      <c r="R236" s="87" t="str">
        <f t="shared" si="31"/>
        <v>.</v>
      </c>
      <c r="S236" s="87">
        <f t="shared" si="32"/>
        <v>93.872400060806285</v>
      </c>
    </row>
    <row r="237" spans="2:19" ht="20.25" customHeight="1">
      <c r="B237" s="151"/>
      <c r="C237" s="98" t="s">
        <v>250</v>
      </c>
      <c r="D237" s="98" t="s">
        <v>274</v>
      </c>
      <c r="E237" s="145">
        <f>RANK(H237,$Q$8:$Q$238)</f>
        <v>129</v>
      </c>
      <c r="F237" s="145">
        <f>IF(D237="4급",RANK(H237,$R$8:$R$238),IF(D237="5급",RANK(H237,$S$8:$S$238),"-"))</f>
        <v>94</v>
      </c>
      <c r="G237" s="98">
        <f t="shared" ref="G237:G238" si="42">RANK(H237,$H$236:$H$238)</f>
        <v>1</v>
      </c>
      <c r="H237" s="146">
        <f t="array" ref="H237">SUMPRODUCT($J$3:$O$3,J237:O237)/SUM(($J$3:$O$3)*(J237:O237&lt;&gt;"."))</f>
        <v>95.076957731469705</v>
      </c>
      <c r="I237" s="147">
        <f t="array" ref="I237">SUMPRODUCT($J$3:$N$3,J237:N237)/SUM(($J$3:$N$3)*(J237:N237&lt;&gt;"."))</f>
        <v>95.091534454178628</v>
      </c>
      <c r="J237" s="148">
        <v>94.269137931034464</v>
      </c>
      <c r="K237" s="148">
        <v>95.163636363636343</v>
      </c>
      <c r="L237" s="148">
        <v>92.545652173913027</v>
      </c>
      <c r="M237" s="148">
        <v>94.742045454545448</v>
      </c>
      <c r="N237" s="148">
        <v>95.913930977322778</v>
      </c>
      <c r="O237" s="149">
        <v>94.8</v>
      </c>
      <c r="Q237" s="115">
        <f t="shared" si="41"/>
        <v>95.076957731469705</v>
      </c>
      <c r="R237" s="87" t="str">
        <f t="shared" si="31"/>
        <v>.</v>
      </c>
      <c r="S237" s="87">
        <f t="shared" si="32"/>
        <v>95.076957731469705</v>
      </c>
    </row>
    <row r="238" spans="2:19" ht="20.25" customHeight="1" thickBot="1">
      <c r="B238" s="152"/>
      <c r="C238" s="140" t="s">
        <v>277</v>
      </c>
      <c r="D238" s="140" t="s">
        <v>274</v>
      </c>
      <c r="E238" s="128">
        <f>RANK(H238,$Q$8:$Q$238)</f>
        <v>141</v>
      </c>
      <c r="F238" s="128">
        <f>IF(D238="4급",RANK(H238,$R$8:$R$238),IF(D238="5급",RANK(H238,$S$8:$S$238),"-"))</f>
        <v>95</v>
      </c>
      <c r="G238" s="140">
        <f t="shared" si="42"/>
        <v>2</v>
      </c>
      <c r="H238" s="129">
        <f t="array" ref="H238">SUMPRODUCT($J$3:$O$3,J238:O238)/SUM(($J$3:$O$3)*(J238:O238&lt;&gt;"."))</f>
        <v>94.894276094750424</v>
      </c>
      <c r="I238" s="130">
        <f t="array" ref="I238">SUMPRODUCT($J$3:$N$3,J238:N238)/SUM(($J$3:$N$3)*(J238:N238&lt;&gt;"."))</f>
        <v>94.894276094750424</v>
      </c>
      <c r="J238" s="141" t="s">
        <v>276</v>
      </c>
      <c r="K238" s="141" t="s">
        <v>276</v>
      </c>
      <c r="L238" s="141" t="s">
        <v>276</v>
      </c>
      <c r="M238" s="141" t="s">
        <v>276</v>
      </c>
      <c r="N238" s="141">
        <v>94.894276094750424</v>
      </c>
      <c r="O238" s="134" t="s">
        <v>276</v>
      </c>
      <c r="Q238" s="115">
        <f t="shared" si="41"/>
        <v>94.894276094750424</v>
      </c>
      <c r="R238" s="87" t="str">
        <f t="shared" si="31"/>
        <v>.</v>
      </c>
      <c r="S238" s="87">
        <f t="shared" si="32"/>
        <v>94.894276094750424</v>
      </c>
    </row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</sheetData>
  <autoFilter ref="A5:T238"/>
  <mergeCells count="13">
    <mergeCell ref="J4:M4"/>
    <mergeCell ref="N4:N5"/>
    <mergeCell ref="O4:O5"/>
    <mergeCell ref="B1:O1"/>
    <mergeCell ref="B3:C3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  <ignoredErrors>
    <ignoredError sqref="I119:I120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R177"/>
  <sheetViews>
    <sheetView zoomScaleNormal="100" zoomScaleSheetLayoutView="100" workbookViewId="0">
      <selection activeCell="G16" sqref="G16:H16"/>
    </sheetView>
  </sheetViews>
  <sheetFormatPr defaultRowHeight="20.25" customHeight="1"/>
  <cols>
    <col min="1" max="1" width="5.625" style="8" bestFit="1" customWidth="1"/>
    <col min="2" max="2" width="7" style="8" bestFit="1" customWidth="1"/>
    <col min="3" max="3" width="5.5" style="8" bestFit="1" customWidth="1"/>
    <col min="4" max="4" width="7.5" style="8" bestFit="1" customWidth="1"/>
    <col min="5" max="5" width="7.25" style="8" bestFit="1" customWidth="1"/>
    <col min="6" max="6" width="7" style="8" customWidth="1"/>
    <col min="7" max="10" width="6.25" style="11" customWidth="1"/>
    <col min="11" max="13" width="6.25" style="8" customWidth="1"/>
    <col min="14" max="15" width="6.375" style="8" customWidth="1"/>
    <col min="16" max="16" width="9" style="9"/>
    <col min="17" max="257" width="9" style="8"/>
    <col min="258" max="258" width="5.625" style="8" bestFit="1" customWidth="1"/>
    <col min="259" max="259" width="7" style="8" bestFit="1" customWidth="1"/>
    <col min="260" max="260" width="5.5" style="8" bestFit="1" customWidth="1"/>
    <col min="261" max="261" width="7.5" style="8" bestFit="1" customWidth="1"/>
    <col min="262" max="262" width="7.25" style="8" bestFit="1" customWidth="1"/>
    <col min="263" max="263" width="7" style="8" customWidth="1"/>
    <col min="264" max="270" width="6.25" style="8" customWidth="1"/>
    <col min="271" max="271" width="6.375" style="8" customWidth="1"/>
    <col min="272" max="513" width="9" style="8"/>
    <col min="514" max="514" width="5.625" style="8" bestFit="1" customWidth="1"/>
    <col min="515" max="515" width="7" style="8" bestFit="1" customWidth="1"/>
    <col min="516" max="516" width="5.5" style="8" bestFit="1" customWidth="1"/>
    <col min="517" max="517" width="7.5" style="8" bestFit="1" customWidth="1"/>
    <col min="518" max="518" width="7.25" style="8" bestFit="1" customWidth="1"/>
    <col min="519" max="519" width="7" style="8" customWidth="1"/>
    <col min="520" max="526" width="6.25" style="8" customWidth="1"/>
    <col min="527" max="527" width="6.375" style="8" customWidth="1"/>
    <col min="528" max="769" width="9" style="8"/>
    <col min="770" max="770" width="5.625" style="8" bestFit="1" customWidth="1"/>
    <col min="771" max="771" width="7" style="8" bestFit="1" customWidth="1"/>
    <col min="772" max="772" width="5.5" style="8" bestFit="1" customWidth="1"/>
    <col min="773" max="773" width="7.5" style="8" bestFit="1" customWidth="1"/>
    <col min="774" max="774" width="7.25" style="8" bestFit="1" customWidth="1"/>
    <col min="775" max="775" width="7" style="8" customWidth="1"/>
    <col min="776" max="782" width="6.25" style="8" customWidth="1"/>
    <col min="783" max="783" width="6.375" style="8" customWidth="1"/>
    <col min="784" max="1025" width="9" style="8"/>
    <col min="1026" max="1026" width="5.625" style="8" bestFit="1" customWidth="1"/>
    <col min="1027" max="1027" width="7" style="8" bestFit="1" customWidth="1"/>
    <col min="1028" max="1028" width="5.5" style="8" bestFit="1" customWidth="1"/>
    <col min="1029" max="1029" width="7.5" style="8" bestFit="1" customWidth="1"/>
    <col min="1030" max="1030" width="7.25" style="8" bestFit="1" customWidth="1"/>
    <col min="1031" max="1031" width="7" style="8" customWidth="1"/>
    <col min="1032" max="1038" width="6.25" style="8" customWidth="1"/>
    <col min="1039" max="1039" width="6.375" style="8" customWidth="1"/>
    <col min="1040" max="1281" width="9" style="8"/>
    <col min="1282" max="1282" width="5.625" style="8" bestFit="1" customWidth="1"/>
    <col min="1283" max="1283" width="7" style="8" bestFit="1" customWidth="1"/>
    <col min="1284" max="1284" width="5.5" style="8" bestFit="1" customWidth="1"/>
    <col min="1285" max="1285" width="7.5" style="8" bestFit="1" customWidth="1"/>
    <col min="1286" max="1286" width="7.25" style="8" bestFit="1" customWidth="1"/>
    <col min="1287" max="1287" width="7" style="8" customWidth="1"/>
    <col min="1288" max="1294" width="6.25" style="8" customWidth="1"/>
    <col min="1295" max="1295" width="6.375" style="8" customWidth="1"/>
    <col min="1296" max="1537" width="9" style="8"/>
    <col min="1538" max="1538" width="5.625" style="8" bestFit="1" customWidth="1"/>
    <col min="1539" max="1539" width="7" style="8" bestFit="1" customWidth="1"/>
    <col min="1540" max="1540" width="5.5" style="8" bestFit="1" customWidth="1"/>
    <col min="1541" max="1541" width="7.5" style="8" bestFit="1" customWidth="1"/>
    <col min="1542" max="1542" width="7.25" style="8" bestFit="1" customWidth="1"/>
    <col min="1543" max="1543" width="7" style="8" customWidth="1"/>
    <col min="1544" max="1550" width="6.25" style="8" customWidth="1"/>
    <col min="1551" max="1551" width="6.375" style="8" customWidth="1"/>
    <col min="1552" max="1793" width="9" style="8"/>
    <col min="1794" max="1794" width="5.625" style="8" bestFit="1" customWidth="1"/>
    <col min="1795" max="1795" width="7" style="8" bestFit="1" customWidth="1"/>
    <col min="1796" max="1796" width="5.5" style="8" bestFit="1" customWidth="1"/>
    <col min="1797" max="1797" width="7.5" style="8" bestFit="1" customWidth="1"/>
    <col min="1798" max="1798" width="7.25" style="8" bestFit="1" customWidth="1"/>
    <col min="1799" max="1799" width="7" style="8" customWidth="1"/>
    <col min="1800" max="1806" width="6.25" style="8" customWidth="1"/>
    <col min="1807" max="1807" width="6.375" style="8" customWidth="1"/>
    <col min="1808" max="2049" width="9" style="8"/>
    <col min="2050" max="2050" width="5.625" style="8" bestFit="1" customWidth="1"/>
    <col min="2051" max="2051" width="7" style="8" bestFit="1" customWidth="1"/>
    <col min="2052" max="2052" width="5.5" style="8" bestFit="1" customWidth="1"/>
    <col min="2053" max="2053" width="7.5" style="8" bestFit="1" customWidth="1"/>
    <col min="2054" max="2054" width="7.25" style="8" bestFit="1" customWidth="1"/>
    <col min="2055" max="2055" width="7" style="8" customWidth="1"/>
    <col min="2056" max="2062" width="6.25" style="8" customWidth="1"/>
    <col min="2063" max="2063" width="6.375" style="8" customWidth="1"/>
    <col min="2064" max="2305" width="9" style="8"/>
    <col min="2306" max="2306" width="5.625" style="8" bestFit="1" customWidth="1"/>
    <col min="2307" max="2307" width="7" style="8" bestFit="1" customWidth="1"/>
    <col min="2308" max="2308" width="5.5" style="8" bestFit="1" customWidth="1"/>
    <col min="2309" max="2309" width="7.5" style="8" bestFit="1" customWidth="1"/>
    <col min="2310" max="2310" width="7.25" style="8" bestFit="1" customWidth="1"/>
    <col min="2311" max="2311" width="7" style="8" customWidth="1"/>
    <col min="2312" max="2318" width="6.25" style="8" customWidth="1"/>
    <col min="2319" max="2319" width="6.375" style="8" customWidth="1"/>
    <col min="2320" max="2561" width="9" style="8"/>
    <col min="2562" max="2562" width="5.625" style="8" bestFit="1" customWidth="1"/>
    <col min="2563" max="2563" width="7" style="8" bestFit="1" customWidth="1"/>
    <col min="2564" max="2564" width="5.5" style="8" bestFit="1" customWidth="1"/>
    <col min="2565" max="2565" width="7.5" style="8" bestFit="1" customWidth="1"/>
    <col min="2566" max="2566" width="7.25" style="8" bestFit="1" customWidth="1"/>
    <col min="2567" max="2567" width="7" style="8" customWidth="1"/>
    <col min="2568" max="2574" width="6.25" style="8" customWidth="1"/>
    <col min="2575" max="2575" width="6.375" style="8" customWidth="1"/>
    <col min="2576" max="2817" width="9" style="8"/>
    <col min="2818" max="2818" width="5.625" style="8" bestFit="1" customWidth="1"/>
    <col min="2819" max="2819" width="7" style="8" bestFit="1" customWidth="1"/>
    <col min="2820" max="2820" width="5.5" style="8" bestFit="1" customWidth="1"/>
    <col min="2821" max="2821" width="7.5" style="8" bestFit="1" customWidth="1"/>
    <col min="2822" max="2822" width="7.25" style="8" bestFit="1" customWidth="1"/>
    <col min="2823" max="2823" width="7" style="8" customWidth="1"/>
    <col min="2824" max="2830" width="6.25" style="8" customWidth="1"/>
    <col min="2831" max="2831" width="6.375" style="8" customWidth="1"/>
    <col min="2832" max="3073" width="9" style="8"/>
    <col min="3074" max="3074" width="5.625" style="8" bestFit="1" customWidth="1"/>
    <col min="3075" max="3075" width="7" style="8" bestFit="1" customWidth="1"/>
    <col min="3076" max="3076" width="5.5" style="8" bestFit="1" customWidth="1"/>
    <col min="3077" max="3077" width="7.5" style="8" bestFit="1" customWidth="1"/>
    <col min="3078" max="3078" width="7.25" style="8" bestFit="1" customWidth="1"/>
    <col min="3079" max="3079" width="7" style="8" customWidth="1"/>
    <col min="3080" max="3086" width="6.25" style="8" customWidth="1"/>
    <col min="3087" max="3087" width="6.375" style="8" customWidth="1"/>
    <col min="3088" max="3329" width="9" style="8"/>
    <col min="3330" max="3330" width="5.625" style="8" bestFit="1" customWidth="1"/>
    <col min="3331" max="3331" width="7" style="8" bestFit="1" customWidth="1"/>
    <col min="3332" max="3332" width="5.5" style="8" bestFit="1" customWidth="1"/>
    <col min="3333" max="3333" width="7.5" style="8" bestFit="1" customWidth="1"/>
    <col min="3334" max="3334" width="7.25" style="8" bestFit="1" customWidth="1"/>
    <col min="3335" max="3335" width="7" style="8" customWidth="1"/>
    <col min="3336" max="3342" width="6.25" style="8" customWidth="1"/>
    <col min="3343" max="3343" width="6.375" style="8" customWidth="1"/>
    <col min="3344" max="3585" width="9" style="8"/>
    <col min="3586" max="3586" width="5.625" style="8" bestFit="1" customWidth="1"/>
    <col min="3587" max="3587" width="7" style="8" bestFit="1" customWidth="1"/>
    <col min="3588" max="3588" width="5.5" style="8" bestFit="1" customWidth="1"/>
    <col min="3589" max="3589" width="7.5" style="8" bestFit="1" customWidth="1"/>
    <col min="3590" max="3590" width="7.25" style="8" bestFit="1" customWidth="1"/>
    <col min="3591" max="3591" width="7" style="8" customWidth="1"/>
    <col min="3592" max="3598" width="6.25" style="8" customWidth="1"/>
    <col min="3599" max="3599" width="6.375" style="8" customWidth="1"/>
    <col min="3600" max="3841" width="9" style="8"/>
    <col min="3842" max="3842" width="5.625" style="8" bestFit="1" customWidth="1"/>
    <col min="3843" max="3843" width="7" style="8" bestFit="1" customWidth="1"/>
    <col min="3844" max="3844" width="5.5" style="8" bestFit="1" customWidth="1"/>
    <col min="3845" max="3845" width="7.5" style="8" bestFit="1" customWidth="1"/>
    <col min="3846" max="3846" width="7.25" style="8" bestFit="1" customWidth="1"/>
    <col min="3847" max="3847" width="7" style="8" customWidth="1"/>
    <col min="3848" max="3854" width="6.25" style="8" customWidth="1"/>
    <col min="3855" max="3855" width="6.375" style="8" customWidth="1"/>
    <col min="3856" max="4097" width="9" style="8"/>
    <col min="4098" max="4098" width="5.625" style="8" bestFit="1" customWidth="1"/>
    <col min="4099" max="4099" width="7" style="8" bestFit="1" customWidth="1"/>
    <col min="4100" max="4100" width="5.5" style="8" bestFit="1" customWidth="1"/>
    <col min="4101" max="4101" width="7.5" style="8" bestFit="1" customWidth="1"/>
    <col min="4102" max="4102" width="7.25" style="8" bestFit="1" customWidth="1"/>
    <col min="4103" max="4103" width="7" style="8" customWidth="1"/>
    <col min="4104" max="4110" width="6.25" style="8" customWidth="1"/>
    <col min="4111" max="4111" width="6.375" style="8" customWidth="1"/>
    <col min="4112" max="4353" width="9" style="8"/>
    <col min="4354" max="4354" width="5.625" style="8" bestFit="1" customWidth="1"/>
    <col min="4355" max="4355" width="7" style="8" bestFit="1" customWidth="1"/>
    <col min="4356" max="4356" width="5.5" style="8" bestFit="1" customWidth="1"/>
    <col min="4357" max="4357" width="7.5" style="8" bestFit="1" customWidth="1"/>
    <col min="4358" max="4358" width="7.25" style="8" bestFit="1" customWidth="1"/>
    <col min="4359" max="4359" width="7" style="8" customWidth="1"/>
    <col min="4360" max="4366" width="6.25" style="8" customWidth="1"/>
    <col min="4367" max="4367" width="6.375" style="8" customWidth="1"/>
    <col min="4368" max="4609" width="9" style="8"/>
    <col min="4610" max="4610" width="5.625" style="8" bestFit="1" customWidth="1"/>
    <col min="4611" max="4611" width="7" style="8" bestFit="1" customWidth="1"/>
    <col min="4612" max="4612" width="5.5" style="8" bestFit="1" customWidth="1"/>
    <col min="4613" max="4613" width="7.5" style="8" bestFit="1" customWidth="1"/>
    <col min="4614" max="4614" width="7.25" style="8" bestFit="1" customWidth="1"/>
    <col min="4615" max="4615" width="7" style="8" customWidth="1"/>
    <col min="4616" max="4622" width="6.25" style="8" customWidth="1"/>
    <col min="4623" max="4623" width="6.375" style="8" customWidth="1"/>
    <col min="4624" max="4865" width="9" style="8"/>
    <col min="4866" max="4866" width="5.625" style="8" bestFit="1" customWidth="1"/>
    <col min="4867" max="4867" width="7" style="8" bestFit="1" customWidth="1"/>
    <col min="4868" max="4868" width="5.5" style="8" bestFit="1" customWidth="1"/>
    <col min="4869" max="4869" width="7.5" style="8" bestFit="1" customWidth="1"/>
    <col min="4870" max="4870" width="7.25" style="8" bestFit="1" customWidth="1"/>
    <col min="4871" max="4871" width="7" style="8" customWidth="1"/>
    <col min="4872" max="4878" width="6.25" style="8" customWidth="1"/>
    <col min="4879" max="4879" width="6.375" style="8" customWidth="1"/>
    <col min="4880" max="5121" width="9" style="8"/>
    <col min="5122" max="5122" width="5.625" style="8" bestFit="1" customWidth="1"/>
    <col min="5123" max="5123" width="7" style="8" bestFit="1" customWidth="1"/>
    <col min="5124" max="5124" width="5.5" style="8" bestFit="1" customWidth="1"/>
    <col min="5125" max="5125" width="7.5" style="8" bestFit="1" customWidth="1"/>
    <col min="5126" max="5126" width="7.25" style="8" bestFit="1" customWidth="1"/>
    <col min="5127" max="5127" width="7" style="8" customWidth="1"/>
    <col min="5128" max="5134" width="6.25" style="8" customWidth="1"/>
    <col min="5135" max="5135" width="6.375" style="8" customWidth="1"/>
    <col min="5136" max="5377" width="9" style="8"/>
    <col min="5378" max="5378" width="5.625" style="8" bestFit="1" customWidth="1"/>
    <col min="5379" max="5379" width="7" style="8" bestFit="1" customWidth="1"/>
    <col min="5380" max="5380" width="5.5" style="8" bestFit="1" customWidth="1"/>
    <col min="5381" max="5381" width="7.5" style="8" bestFit="1" customWidth="1"/>
    <col min="5382" max="5382" width="7.25" style="8" bestFit="1" customWidth="1"/>
    <col min="5383" max="5383" width="7" style="8" customWidth="1"/>
    <col min="5384" max="5390" width="6.25" style="8" customWidth="1"/>
    <col min="5391" max="5391" width="6.375" style="8" customWidth="1"/>
    <col min="5392" max="5633" width="9" style="8"/>
    <col min="5634" max="5634" width="5.625" style="8" bestFit="1" customWidth="1"/>
    <col min="5635" max="5635" width="7" style="8" bestFit="1" customWidth="1"/>
    <col min="5636" max="5636" width="5.5" style="8" bestFit="1" customWidth="1"/>
    <col min="5637" max="5637" width="7.5" style="8" bestFit="1" customWidth="1"/>
    <col min="5638" max="5638" width="7.25" style="8" bestFit="1" customWidth="1"/>
    <col min="5639" max="5639" width="7" style="8" customWidth="1"/>
    <col min="5640" max="5646" width="6.25" style="8" customWidth="1"/>
    <col min="5647" max="5647" width="6.375" style="8" customWidth="1"/>
    <col min="5648" max="5889" width="9" style="8"/>
    <col min="5890" max="5890" width="5.625" style="8" bestFit="1" customWidth="1"/>
    <col min="5891" max="5891" width="7" style="8" bestFit="1" customWidth="1"/>
    <col min="5892" max="5892" width="5.5" style="8" bestFit="1" customWidth="1"/>
    <col min="5893" max="5893" width="7.5" style="8" bestFit="1" customWidth="1"/>
    <col min="5894" max="5894" width="7.25" style="8" bestFit="1" customWidth="1"/>
    <col min="5895" max="5895" width="7" style="8" customWidth="1"/>
    <col min="5896" max="5902" width="6.25" style="8" customWidth="1"/>
    <col min="5903" max="5903" width="6.375" style="8" customWidth="1"/>
    <col min="5904" max="6145" width="9" style="8"/>
    <col min="6146" max="6146" width="5.625" style="8" bestFit="1" customWidth="1"/>
    <col min="6147" max="6147" width="7" style="8" bestFit="1" customWidth="1"/>
    <col min="6148" max="6148" width="5.5" style="8" bestFit="1" customWidth="1"/>
    <col min="6149" max="6149" width="7.5" style="8" bestFit="1" customWidth="1"/>
    <col min="6150" max="6150" width="7.25" style="8" bestFit="1" customWidth="1"/>
    <col min="6151" max="6151" width="7" style="8" customWidth="1"/>
    <col min="6152" max="6158" width="6.25" style="8" customWidth="1"/>
    <col min="6159" max="6159" width="6.375" style="8" customWidth="1"/>
    <col min="6160" max="6401" width="9" style="8"/>
    <col min="6402" max="6402" width="5.625" style="8" bestFit="1" customWidth="1"/>
    <col min="6403" max="6403" width="7" style="8" bestFit="1" customWidth="1"/>
    <col min="6404" max="6404" width="5.5" style="8" bestFit="1" customWidth="1"/>
    <col min="6405" max="6405" width="7.5" style="8" bestFit="1" customWidth="1"/>
    <col min="6406" max="6406" width="7.25" style="8" bestFit="1" customWidth="1"/>
    <col min="6407" max="6407" width="7" style="8" customWidth="1"/>
    <col min="6408" max="6414" width="6.25" style="8" customWidth="1"/>
    <col min="6415" max="6415" width="6.375" style="8" customWidth="1"/>
    <col min="6416" max="6657" width="9" style="8"/>
    <col min="6658" max="6658" width="5.625" style="8" bestFit="1" customWidth="1"/>
    <col min="6659" max="6659" width="7" style="8" bestFit="1" customWidth="1"/>
    <col min="6660" max="6660" width="5.5" style="8" bestFit="1" customWidth="1"/>
    <col min="6661" max="6661" width="7.5" style="8" bestFit="1" customWidth="1"/>
    <col min="6662" max="6662" width="7.25" style="8" bestFit="1" customWidth="1"/>
    <col min="6663" max="6663" width="7" style="8" customWidth="1"/>
    <col min="6664" max="6670" width="6.25" style="8" customWidth="1"/>
    <col min="6671" max="6671" width="6.375" style="8" customWidth="1"/>
    <col min="6672" max="6913" width="9" style="8"/>
    <col min="6914" max="6914" width="5.625" style="8" bestFit="1" customWidth="1"/>
    <col min="6915" max="6915" width="7" style="8" bestFit="1" customWidth="1"/>
    <col min="6916" max="6916" width="5.5" style="8" bestFit="1" customWidth="1"/>
    <col min="6917" max="6917" width="7.5" style="8" bestFit="1" customWidth="1"/>
    <col min="6918" max="6918" width="7.25" style="8" bestFit="1" customWidth="1"/>
    <col min="6919" max="6919" width="7" style="8" customWidth="1"/>
    <col min="6920" max="6926" width="6.25" style="8" customWidth="1"/>
    <col min="6927" max="6927" width="6.375" style="8" customWidth="1"/>
    <col min="6928" max="7169" width="9" style="8"/>
    <col min="7170" max="7170" width="5.625" style="8" bestFit="1" customWidth="1"/>
    <col min="7171" max="7171" width="7" style="8" bestFit="1" customWidth="1"/>
    <col min="7172" max="7172" width="5.5" style="8" bestFit="1" customWidth="1"/>
    <col min="7173" max="7173" width="7.5" style="8" bestFit="1" customWidth="1"/>
    <col min="7174" max="7174" width="7.25" style="8" bestFit="1" customWidth="1"/>
    <col min="7175" max="7175" width="7" style="8" customWidth="1"/>
    <col min="7176" max="7182" width="6.25" style="8" customWidth="1"/>
    <col min="7183" max="7183" width="6.375" style="8" customWidth="1"/>
    <col min="7184" max="7425" width="9" style="8"/>
    <col min="7426" max="7426" width="5.625" style="8" bestFit="1" customWidth="1"/>
    <col min="7427" max="7427" width="7" style="8" bestFit="1" customWidth="1"/>
    <col min="7428" max="7428" width="5.5" style="8" bestFit="1" customWidth="1"/>
    <col min="7429" max="7429" width="7.5" style="8" bestFit="1" customWidth="1"/>
    <col min="7430" max="7430" width="7.25" style="8" bestFit="1" customWidth="1"/>
    <col min="7431" max="7431" width="7" style="8" customWidth="1"/>
    <col min="7432" max="7438" width="6.25" style="8" customWidth="1"/>
    <col min="7439" max="7439" width="6.375" style="8" customWidth="1"/>
    <col min="7440" max="7681" width="9" style="8"/>
    <col min="7682" max="7682" width="5.625" style="8" bestFit="1" customWidth="1"/>
    <col min="7683" max="7683" width="7" style="8" bestFit="1" customWidth="1"/>
    <col min="7684" max="7684" width="5.5" style="8" bestFit="1" customWidth="1"/>
    <col min="7685" max="7685" width="7.5" style="8" bestFit="1" customWidth="1"/>
    <col min="7686" max="7686" width="7.25" style="8" bestFit="1" customWidth="1"/>
    <col min="7687" max="7687" width="7" style="8" customWidth="1"/>
    <col min="7688" max="7694" width="6.25" style="8" customWidth="1"/>
    <col min="7695" max="7695" width="6.375" style="8" customWidth="1"/>
    <col min="7696" max="7937" width="9" style="8"/>
    <col min="7938" max="7938" width="5.625" style="8" bestFit="1" customWidth="1"/>
    <col min="7939" max="7939" width="7" style="8" bestFit="1" customWidth="1"/>
    <col min="7940" max="7940" width="5.5" style="8" bestFit="1" customWidth="1"/>
    <col min="7941" max="7941" width="7.5" style="8" bestFit="1" customWidth="1"/>
    <col min="7942" max="7942" width="7.25" style="8" bestFit="1" customWidth="1"/>
    <col min="7943" max="7943" width="7" style="8" customWidth="1"/>
    <col min="7944" max="7950" width="6.25" style="8" customWidth="1"/>
    <col min="7951" max="7951" width="6.375" style="8" customWidth="1"/>
    <col min="7952" max="8193" width="9" style="8"/>
    <col min="8194" max="8194" width="5.625" style="8" bestFit="1" customWidth="1"/>
    <col min="8195" max="8195" width="7" style="8" bestFit="1" customWidth="1"/>
    <col min="8196" max="8196" width="5.5" style="8" bestFit="1" customWidth="1"/>
    <col min="8197" max="8197" width="7.5" style="8" bestFit="1" customWidth="1"/>
    <col min="8198" max="8198" width="7.25" style="8" bestFit="1" customWidth="1"/>
    <col min="8199" max="8199" width="7" style="8" customWidth="1"/>
    <col min="8200" max="8206" width="6.25" style="8" customWidth="1"/>
    <col min="8207" max="8207" width="6.375" style="8" customWidth="1"/>
    <col min="8208" max="8449" width="9" style="8"/>
    <col min="8450" max="8450" width="5.625" style="8" bestFit="1" customWidth="1"/>
    <col min="8451" max="8451" width="7" style="8" bestFit="1" customWidth="1"/>
    <col min="8452" max="8452" width="5.5" style="8" bestFit="1" customWidth="1"/>
    <col min="8453" max="8453" width="7.5" style="8" bestFit="1" customWidth="1"/>
    <col min="8454" max="8454" width="7.25" style="8" bestFit="1" customWidth="1"/>
    <col min="8455" max="8455" width="7" style="8" customWidth="1"/>
    <col min="8456" max="8462" width="6.25" style="8" customWidth="1"/>
    <col min="8463" max="8463" width="6.375" style="8" customWidth="1"/>
    <col min="8464" max="8705" width="9" style="8"/>
    <col min="8706" max="8706" width="5.625" style="8" bestFit="1" customWidth="1"/>
    <col min="8707" max="8707" width="7" style="8" bestFit="1" customWidth="1"/>
    <col min="8708" max="8708" width="5.5" style="8" bestFit="1" customWidth="1"/>
    <col min="8709" max="8709" width="7.5" style="8" bestFit="1" customWidth="1"/>
    <col min="8710" max="8710" width="7.25" style="8" bestFit="1" customWidth="1"/>
    <col min="8711" max="8711" width="7" style="8" customWidth="1"/>
    <col min="8712" max="8718" width="6.25" style="8" customWidth="1"/>
    <col min="8719" max="8719" width="6.375" style="8" customWidth="1"/>
    <col min="8720" max="8961" width="9" style="8"/>
    <col min="8962" max="8962" width="5.625" style="8" bestFit="1" customWidth="1"/>
    <col min="8963" max="8963" width="7" style="8" bestFit="1" customWidth="1"/>
    <col min="8964" max="8964" width="5.5" style="8" bestFit="1" customWidth="1"/>
    <col min="8965" max="8965" width="7.5" style="8" bestFit="1" customWidth="1"/>
    <col min="8966" max="8966" width="7.25" style="8" bestFit="1" customWidth="1"/>
    <col min="8967" max="8967" width="7" style="8" customWidth="1"/>
    <col min="8968" max="8974" width="6.25" style="8" customWidth="1"/>
    <col min="8975" max="8975" width="6.375" style="8" customWidth="1"/>
    <col min="8976" max="9217" width="9" style="8"/>
    <col min="9218" max="9218" width="5.625" style="8" bestFit="1" customWidth="1"/>
    <col min="9219" max="9219" width="7" style="8" bestFit="1" customWidth="1"/>
    <col min="9220" max="9220" width="5.5" style="8" bestFit="1" customWidth="1"/>
    <col min="9221" max="9221" width="7.5" style="8" bestFit="1" customWidth="1"/>
    <col min="9222" max="9222" width="7.25" style="8" bestFit="1" customWidth="1"/>
    <col min="9223" max="9223" width="7" style="8" customWidth="1"/>
    <col min="9224" max="9230" width="6.25" style="8" customWidth="1"/>
    <col min="9231" max="9231" width="6.375" style="8" customWidth="1"/>
    <col min="9232" max="9473" width="9" style="8"/>
    <col min="9474" max="9474" width="5.625" style="8" bestFit="1" customWidth="1"/>
    <col min="9475" max="9475" width="7" style="8" bestFit="1" customWidth="1"/>
    <col min="9476" max="9476" width="5.5" style="8" bestFit="1" customWidth="1"/>
    <col min="9477" max="9477" width="7.5" style="8" bestFit="1" customWidth="1"/>
    <col min="9478" max="9478" width="7.25" style="8" bestFit="1" customWidth="1"/>
    <col min="9479" max="9479" width="7" style="8" customWidth="1"/>
    <col min="9480" max="9486" width="6.25" style="8" customWidth="1"/>
    <col min="9487" max="9487" width="6.375" style="8" customWidth="1"/>
    <col min="9488" max="9729" width="9" style="8"/>
    <col min="9730" max="9730" width="5.625" style="8" bestFit="1" customWidth="1"/>
    <col min="9731" max="9731" width="7" style="8" bestFit="1" customWidth="1"/>
    <col min="9732" max="9732" width="5.5" style="8" bestFit="1" customWidth="1"/>
    <col min="9733" max="9733" width="7.5" style="8" bestFit="1" customWidth="1"/>
    <col min="9734" max="9734" width="7.25" style="8" bestFit="1" customWidth="1"/>
    <col min="9735" max="9735" width="7" style="8" customWidth="1"/>
    <col min="9736" max="9742" width="6.25" style="8" customWidth="1"/>
    <col min="9743" max="9743" width="6.375" style="8" customWidth="1"/>
    <col min="9744" max="9985" width="9" style="8"/>
    <col min="9986" max="9986" width="5.625" style="8" bestFit="1" customWidth="1"/>
    <col min="9987" max="9987" width="7" style="8" bestFit="1" customWidth="1"/>
    <col min="9988" max="9988" width="5.5" style="8" bestFit="1" customWidth="1"/>
    <col min="9989" max="9989" width="7.5" style="8" bestFit="1" customWidth="1"/>
    <col min="9990" max="9990" width="7.25" style="8" bestFit="1" customWidth="1"/>
    <col min="9991" max="9991" width="7" style="8" customWidth="1"/>
    <col min="9992" max="9998" width="6.25" style="8" customWidth="1"/>
    <col min="9999" max="9999" width="6.375" style="8" customWidth="1"/>
    <col min="10000" max="10241" width="9" style="8"/>
    <col min="10242" max="10242" width="5.625" style="8" bestFit="1" customWidth="1"/>
    <col min="10243" max="10243" width="7" style="8" bestFit="1" customWidth="1"/>
    <col min="10244" max="10244" width="5.5" style="8" bestFit="1" customWidth="1"/>
    <col min="10245" max="10245" width="7.5" style="8" bestFit="1" customWidth="1"/>
    <col min="10246" max="10246" width="7.25" style="8" bestFit="1" customWidth="1"/>
    <col min="10247" max="10247" width="7" style="8" customWidth="1"/>
    <col min="10248" max="10254" width="6.25" style="8" customWidth="1"/>
    <col min="10255" max="10255" width="6.375" style="8" customWidth="1"/>
    <col min="10256" max="10497" width="9" style="8"/>
    <col min="10498" max="10498" width="5.625" style="8" bestFit="1" customWidth="1"/>
    <col min="10499" max="10499" width="7" style="8" bestFit="1" customWidth="1"/>
    <col min="10500" max="10500" width="5.5" style="8" bestFit="1" customWidth="1"/>
    <col min="10501" max="10501" width="7.5" style="8" bestFit="1" customWidth="1"/>
    <col min="10502" max="10502" width="7.25" style="8" bestFit="1" customWidth="1"/>
    <col min="10503" max="10503" width="7" style="8" customWidth="1"/>
    <col min="10504" max="10510" width="6.25" style="8" customWidth="1"/>
    <col min="10511" max="10511" width="6.375" style="8" customWidth="1"/>
    <col min="10512" max="10753" width="9" style="8"/>
    <col min="10754" max="10754" width="5.625" style="8" bestFit="1" customWidth="1"/>
    <col min="10755" max="10755" width="7" style="8" bestFit="1" customWidth="1"/>
    <col min="10756" max="10756" width="5.5" style="8" bestFit="1" customWidth="1"/>
    <col min="10757" max="10757" width="7.5" style="8" bestFit="1" customWidth="1"/>
    <col min="10758" max="10758" width="7.25" style="8" bestFit="1" customWidth="1"/>
    <col min="10759" max="10759" width="7" style="8" customWidth="1"/>
    <col min="10760" max="10766" width="6.25" style="8" customWidth="1"/>
    <col min="10767" max="10767" width="6.375" style="8" customWidth="1"/>
    <col min="10768" max="11009" width="9" style="8"/>
    <col min="11010" max="11010" width="5.625" style="8" bestFit="1" customWidth="1"/>
    <col min="11011" max="11011" width="7" style="8" bestFit="1" customWidth="1"/>
    <col min="11012" max="11012" width="5.5" style="8" bestFit="1" customWidth="1"/>
    <col min="11013" max="11013" width="7.5" style="8" bestFit="1" customWidth="1"/>
    <col min="11014" max="11014" width="7.25" style="8" bestFit="1" customWidth="1"/>
    <col min="11015" max="11015" width="7" style="8" customWidth="1"/>
    <col min="11016" max="11022" width="6.25" style="8" customWidth="1"/>
    <col min="11023" max="11023" width="6.375" style="8" customWidth="1"/>
    <col min="11024" max="11265" width="9" style="8"/>
    <col min="11266" max="11266" width="5.625" style="8" bestFit="1" customWidth="1"/>
    <col min="11267" max="11267" width="7" style="8" bestFit="1" customWidth="1"/>
    <col min="11268" max="11268" width="5.5" style="8" bestFit="1" customWidth="1"/>
    <col min="11269" max="11269" width="7.5" style="8" bestFit="1" customWidth="1"/>
    <col min="11270" max="11270" width="7.25" style="8" bestFit="1" customWidth="1"/>
    <col min="11271" max="11271" width="7" style="8" customWidth="1"/>
    <col min="11272" max="11278" width="6.25" style="8" customWidth="1"/>
    <col min="11279" max="11279" width="6.375" style="8" customWidth="1"/>
    <col min="11280" max="11521" width="9" style="8"/>
    <col min="11522" max="11522" width="5.625" style="8" bestFit="1" customWidth="1"/>
    <col min="11523" max="11523" width="7" style="8" bestFit="1" customWidth="1"/>
    <col min="11524" max="11524" width="5.5" style="8" bestFit="1" customWidth="1"/>
    <col min="11525" max="11525" width="7.5" style="8" bestFit="1" customWidth="1"/>
    <col min="11526" max="11526" width="7.25" style="8" bestFit="1" customWidth="1"/>
    <col min="11527" max="11527" width="7" style="8" customWidth="1"/>
    <col min="11528" max="11534" width="6.25" style="8" customWidth="1"/>
    <col min="11535" max="11535" width="6.375" style="8" customWidth="1"/>
    <col min="11536" max="11777" width="9" style="8"/>
    <col min="11778" max="11778" width="5.625" style="8" bestFit="1" customWidth="1"/>
    <col min="11779" max="11779" width="7" style="8" bestFit="1" customWidth="1"/>
    <col min="11780" max="11780" width="5.5" style="8" bestFit="1" customWidth="1"/>
    <col min="11781" max="11781" width="7.5" style="8" bestFit="1" customWidth="1"/>
    <col min="11782" max="11782" width="7.25" style="8" bestFit="1" customWidth="1"/>
    <col min="11783" max="11783" width="7" style="8" customWidth="1"/>
    <col min="11784" max="11790" width="6.25" style="8" customWidth="1"/>
    <col min="11791" max="11791" width="6.375" style="8" customWidth="1"/>
    <col min="11792" max="12033" width="9" style="8"/>
    <col min="12034" max="12034" width="5.625" style="8" bestFit="1" customWidth="1"/>
    <col min="12035" max="12035" width="7" style="8" bestFit="1" customWidth="1"/>
    <col min="12036" max="12036" width="5.5" style="8" bestFit="1" customWidth="1"/>
    <col min="12037" max="12037" width="7.5" style="8" bestFit="1" customWidth="1"/>
    <col min="12038" max="12038" width="7.25" style="8" bestFit="1" customWidth="1"/>
    <col min="12039" max="12039" width="7" style="8" customWidth="1"/>
    <col min="12040" max="12046" width="6.25" style="8" customWidth="1"/>
    <col min="12047" max="12047" width="6.375" style="8" customWidth="1"/>
    <col min="12048" max="12289" width="9" style="8"/>
    <col min="12290" max="12290" width="5.625" style="8" bestFit="1" customWidth="1"/>
    <col min="12291" max="12291" width="7" style="8" bestFit="1" customWidth="1"/>
    <col min="12292" max="12292" width="5.5" style="8" bestFit="1" customWidth="1"/>
    <col min="12293" max="12293" width="7.5" style="8" bestFit="1" customWidth="1"/>
    <col min="12294" max="12294" width="7.25" style="8" bestFit="1" customWidth="1"/>
    <col min="12295" max="12295" width="7" style="8" customWidth="1"/>
    <col min="12296" max="12302" width="6.25" style="8" customWidth="1"/>
    <col min="12303" max="12303" width="6.375" style="8" customWidth="1"/>
    <col min="12304" max="12545" width="9" style="8"/>
    <col min="12546" max="12546" width="5.625" style="8" bestFit="1" customWidth="1"/>
    <col min="12547" max="12547" width="7" style="8" bestFit="1" customWidth="1"/>
    <col min="12548" max="12548" width="5.5" style="8" bestFit="1" customWidth="1"/>
    <col min="12549" max="12549" width="7.5" style="8" bestFit="1" customWidth="1"/>
    <col min="12550" max="12550" width="7.25" style="8" bestFit="1" customWidth="1"/>
    <col min="12551" max="12551" width="7" style="8" customWidth="1"/>
    <col min="12552" max="12558" width="6.25" style="8" customWidth="1"/>
    <col min="12559" max="12559" width="6.375" style="8" customWidth="1"/>
    <col min="12560" max="12801" width="9" style="8"/>
    <col min="12802" max="12802" width="5.625" style="8" bestFit="1" customWidth="1"/>
    <col min="12803" max="12803" width="7" style="8" bestFit="1" customWidth="1"/>
    <col min="12804" max="12804" width="5.5" style="8" bestFit="1" customWidth="1"/>
    <col min="12805" max="12805" width="7.5" style="8" bestFit="1" customWidth="1"/>
    <col min="12806" max="12806" width="7.25" style="8" bestFit="1" customWidth="1"/>
    <col min="12807" max="12807" width="7" style="8" customWidth="1"/>
    <col min="12808" max="12814" width="6.25" style="8" customWidth="1"/>
    <col min="12815" max="12815" width="6.375" style="8" customWidth="1"/>
    <col min="12816" max="13057" width="9" style="8"/>
    <col min="13058" max="13058" width="5.625" style="8" bestFit="1" customWidth="1"/>
    <col min="13059" max="13059" width="7" style="8" bestFit="1" customWidth="1"/>
    <col min="13060" max="13060" width="5.5" style="8" bestFit="1" customWidth="1"/>
    <col min="13061" max="13061" width="7.5" style="8" bestFit="1" customWidth="1"/>
    <col min="13062" max="13062" width="7.25" style="8" bestFit="1" customWidth="1"/>
    <col min="13063" max="13063" width="7" style="8" customWidth="1"/>
    <col min="13064" max="13070" width="6.25" style="8" customWidth="1"/>
    <col min="13071" max="13071" width="6.375" style="8" customWidth="1"/>
    <col min="13072" max="13313" width="9" style="8"/>
    <col min="13314" max="13314" width="5.625" style="8" bestFit="1" customWidth="1"/>
    <col min="13315" max="13315" width="7" style="8" bestFit="1" customWidth="1"/>
    <col min="13316" max="13316" width="5.5" style="8" bestFit="1" customWidth="1"/>
    <col min="13317" max="13317" width="7.5" style="8" bestFit="1" customWidth="1"/>
    <col min="13318" max="13318" width="7.25" style="8" bestFit="1" customWidth="1"/>
    <col min="13319" max="13319" width="7" style="8" customWidth="1"/>
    <col min="13320" max="13326" width="6.25" style="8" customWidth="1"/>
    <col min="13327" max="13327" width="6.375" style="8" customWidth="1"/>
    <col min="13328" max="13569" width="9" style="8"/>
    <col min="13570" max="13570" width="5.625" style="8" bestFit="1" customWidth="1"/>
    <col min="13571" max="13571" width="7" style="8" bestFit="1" customWidth="1"/>
    <col min="13572" max="13572" width="5.5" style="8" bestFit="1" customWidth="1"/>
    <col min="13573" max="13573" width="7.5" style="8" bestFit="1" customWidth="1"/>
    <col min="13574" max="13574" width="7.25" style="8" bestFit="1" customWidth="1"/>
    <col min="13575" max="13575" width="7" style="8" customWidth="1"/>
    <col min="13576" max="13582" width="6.25" style="8" customWidth="1"/>
    <col min="13583" max="13583" width="6.375" style="8" customWidth="1"/>
    <col min="13584" max="13825" width="9" style="8"/>
    <col min="13826" max="13826" width="5.625" style="8" bestFit="1" customWidth="1"/>
    <col min="13827" max="13827" width="7" style="8" bestFit="1" customWidth="1"/>
    <col min="13828" max="13828" width="5.5" style="8" bestFit="1" customWidth="1"/>
    <col min="13829" max="13829" width="7.5" style="8" bestFit="1" customWidth="1"/>
    <col min="13830" max="13830" width="7.25" style="8" bestFit="1" customWidth="1"/>
    <col min="13831" max="13831" width="7" style="8" customWidth="1"/>
    <col min="13832" max="13838" width="6.25" style="8" customWidth="1"/>
    <col min="13839" max="13839" width="6.375" style="8" customWidth="1"/>
    <col min="13840" max="14081" width="9" style="8"/>
    <col min="14082" max="14082" width="5.625" style="8" bestFit="1" customWidth="1"/>
    <col min="14083" max="14083" width="7" style="8" bestFit="1" customWidth="1"/>
    <col min="14084" max="14084" width="5.5" style="8" bestFit="1" customWidth="1"/>
    <col min="14085" max="14085" width="7.5" style="8" bestFit="1" customWidth="1"/>
    <col min="14086" max="14086" width="7.25" style="8" bestFit="1" customWidth="1"/>
    <col min="14087" max="14087" width="7" style="8" customWidth="1"/>
    <col min="14088" max="14094" width="6.25" style="8" customWidth="1"/>
    <col min="14095" max="14095" width="6.375" style="8" customWidth="1"/>
    <col min="14096" max="14337" width="9" style="8"/>
    <col min="14338" max="14338" width="5.625" style="8" bestFit="1" customWidth="1"/>
    <col min="14339" max="14339" width="7" style="8" bestFit="1" customWidth="1"/>
    <col min="14340" max="14340" width="5.5" style="8" bestFit="1" customWidth="1"/>
    <col min="14341" max="14341" width="7.5" style="8" bestFit="1" customWidth="1"/>
    <col min="14342" max="14342" width="7.25" style="8" bestFit="1" customWidth="1"/>
    <col min="14343" max="14343" width="7" style="8" customWidth="1"/>
    <col min="14344" max="14350" width="6.25" style="8" customWidth="1"/>
    <col min="14351" max="14351" width="6.375" style="8" customWidth="1"/>
    <col min="14352" max="14593" width="9" style="8"/>
    <col min="14594" max="14594" width="5.625" style="8" bestFit="1" customWidth="1"/>
    <col min="14595" max="14595" width="7" style="8" bestFit="1" customWidth="1"/>
    <col min="14596" max="14596" width="5.5" style="8" bestFit="1" customWidth="1"/>
    <col min="14597" max="14597" width="7.5" style="8" bestFit="1" customWidth="1"/>
    <col min="14598" max="14598" width="7.25" style="8" bestFit="1" customWidth="1"/>
    <col min="14599" max="14599" width="7" style="8" customWidth="1"/>
    <col min="14600" max="14606" width="6.25" style="8" customWidth="1"/>
    <col min="14607" max="14607" width="6.375" style="8" customWidth="1"/>
    <col min="14608" max="14849" width="9" style="8"/>
    <col min="14850" max="14850" width="5.625" style="8" bestFit="1" customWidth="1"/>
    <col min="14851" max="14851" width="7" style="8" bestFit="1" customWidth="1"/>
    <col min="14852" max="14852" width="5.5" style="8" bestFit="1" customWidth="1"/>
    <col min="14853" max="14853" width="7.5" style="8" bestFit="1" customWidth="1"/>
    <col min="14854" max="14854" width="7.25" style="8" bestFit="1" customWidth="1"/>
    <col min="14855" max="14855" width="7" style="8" customWidth="1"/>
    <col min="14856" max="14862" width="6.25" style="8" customWidth="1"/>
    <col min="14863" max="14863" width="6.375" style="8" customWidth="1"/>
    <col min="14864" max="15105" width="9" style="8"/>
    <col min="15106" max="15106" width="5.625" style="8" bestFit="1" customWidth="1"/>
    <col min="15107" max="15107" width="7" style="8" bestFit="1" customWidth="1"/>
    <col min="15108" max="15108" width="5.5" style="8" bestFit="1" customWidth="1"/>
    <col min="15109" max="15109" width="7.5" style="8" bestFit="1" customWidth="1"/>
    <col min="15110" max="15110" width="7.25" style="8" bestFit="1" customWidth="1"/>
    <col min="15111" max="15111" width="7" style="8" customWidth="1"/>
    <col min="15112" max="15118" width="6.25" style="8" customWidth="1"/>
    <col min="15119" max="15119" width="6.375" style="8" customWidth="1"/>
    <col min="15120" max="15361" width="9" style="8"/>
    <col min="15362" max="15362" width="5.625" style="8" bestFit="1" customWidth="1"/>
    <col min="15363" max="15363" width="7" style="8" bestFit="1" customWidth="1"/>
    <col min="15364" max="15364" width="5.5" style="8" bestFit="1" customWidth="1"/>
    <col min="15365" max="15365" width="7.5" style="8" bestFit="1" customWidth="1"/>
    <col min="15366" max="15366" width="7.25" style="8" bestFit="1" customWidth="1"/>
    <col min="15367" max="15367" width="7" style="8" customWidth="1"/>
    <col min="15368" max="15374" width="6.25" style="8" customWidth="1"/>
    <col min="15375" max="15375" width="6.375" style="8" customWidth="1"/>
    <col min="15376" max="15617" width="9" style="8"/>
    <col min="15618" max="15618" width="5.625" style="8" bestFit="1" customWidth="1"/>
    <col min="15619" max="15619" width="7" style="8" bestFit="1" customWidth="1"/>
    <col min="15620" max="15620" width="5.5" style="8" bestFit="1" customWidth="1"/>
    <col min="15621" max="15621" width="7.5" style="8" bestFit="1" customWidth="1"/>
    <col min="15622" max="15622" width="7.25" style="8" bestFit="1" customWidth="1"/>
    <col min="15623" max="15623" width="7" style="8" customWidth="1"/>
    <col min="15624" max="15630" width="6.25" style="8" customWidth="1"/>
    <col min="15631" max="15631" width="6.375" style="8" customWidth="1"/>
    <col min="15632" max="15873" width="9" style="8"/>
    <col min="15874" max="15874" width="5.625" style="8" bestFit="1" customWidth="1"/>
    <col min="15875" max="15875" width="7" style="8" bestFit="1" customWidth="1"/>
    <col min="15876" max="15876" width="5.5" style="8" bestFit="1" customWidth="1"/>
    <col min="15877" max="15877" width="7.5" style="8" bestFit="1" customWidth="1"/>
    <col min="15878" max="15878" width="7.25" style="8" bestFit="1" customWidth="1"/>
    <col min="15879" max="15879" width="7" style="8" customWidth="1"/>
    <col min="15880" max="15886" width="6.25" style="8" customWidth="1"/>
    <col min="15887" max="15887" width="6.375" style="8" customWidth="1"/>
    <col min="15888" max="16129" width="9" style="8"/>
    <col min="16130" max="16130" width="5.625" style="8" bestFit="1" customWidth="1"/>
    <col min="16131" max="16131" width="7" style="8" bestFit="1" customWidth="1"/>
    <col min="16132" max="16132" width="5.5" style="8" bestFit="1" customWidth="1"/>
    <col min="16133" max="16133" width="7.5" style="8" bestFit="1" customWidth="1"/>
    <col min="16134" max="16134" width="7.25" style="8" bestFit="1" customWidth="1"/>
    <col min="16135" max="16135" width="7" style="8" customWidth="1"/>
    <col min="16136" max="16142" width="6.25" style="8" customWidth="1"/>
    <col min="16143" max="16143" width="6.375" style="8" customWidth="1"/>
    <col min="16144" max="16384" width="9" style="8"/>
  </cols>
  <sheetData>
    <row r="1" spans="1:18" ht="23.25" customHeight="1">
      <c r="A1" s="776" t="s">
        <v>37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"/>
    </row>
    <row r="2" spans="1:18" s="10" customFormat="1" ht="20.25" customHeight="1" thickBot="1">
      <c r="A2" s="777"/>
      <c r="B2" s="777"/>
      <c r="C2" s="9"/>
      <c r="D2" s="9"/>
      <c r="E2" s="9"/>
      <c r="F2" s="9"/>
      <c r="I2" s="11"/>
      <c r="P2" s="70"/>
    </row>
    <row r="3" spans="1:18" ht="20.25" customHeight="1">
      <c r="A3" s="772" t="s">
        <v>38</v>
      </c>
      <c r="B3" s="767" t="s">
        <v>39</v>
      </c>
      <c r="C3" s="767" t="s">
        <v>40</v>
      </c>
      <c r="D3" s="767" t="s">
        <v>41</v>
      </c>
      <c r="E3" s="767" t="s">
        <v>42</v>
      </c>
      <c r="F3" s="767" t="s">
        <v>43</v>
      </c>
      <c r="G3" s="769" t="s">
        <v>255</v>
      </c>
      <c r="H3" s="769" t="s">
        <v>256</v>
      </c>
      <c r="I3" s="767" t="s">
        <v>44</v>
      </c>
      <c r="J3" s="767"/>
      <c r="K3" s="767"/>
      <c r="L3" s="767"/>
      <c r="M3" s="767" t="s">
        <v>45</v>
      </c>
      <c r="N3" s="770" t="s">
        <v>259</v>
      </c>
      <c r="O3" s="178"/>
    </row>
    <row r="4" spans="1:18" ht="20.25" customHeight="1" thickBot="1">
      <c r="A4" s="773"/>
      <c r="B4" s="768"/>
      <c r="C4" s="768"/>
      <c r="D4" s="768"/>
      <c r="E4" s="768"/>
      <c r="F4" s="768"/>
      <c r="G4" s="768"/>
      <c r="H4" s="768"/>
      <c r="I4" s="12" t="s">
        <v>46</v>
      </c>
      <c r="J4" s="12" t="s">
        <v>47</v>
      </c>
      <c r="K4" s="12" t="s">
        <v>48</v>
      </c>
      <c r="L4" s="12" t="s">
        <v>49</v>
      </c>
      <c r="M4" s="768"/>
      <c r="N4" s="771"/>
      <c r="O4" s="70"/>
    </row>
    <row r="5" spans="1:18" ht="20.25" customHeight="1">
      <c r="A5" s="773"/>
      <c r="B5" s="768"/>
      <c r="C5" s="768"/>
      <c r="D5" s="768"/>
      <c r="E5" s="768"/>
      <c r="F5" s="768"/>
      <c r="G5" s="12" t="s">
        <v>50</v>
      </c>
      <c r="H5" s="12" t="s">
        <v>50</v>
      </c>
      <c r="I5" s="12" t="s">
        <v>50</v>
      </c>
      <c r="J5" s="12" t="s">
        <v>50</v>
      </c>
      <c r="K5" s="12" t="s">
        <v>50</v>
      </c>
      <c r="L5" s="12" t="s">
        <v>50</v>
      </c>
      <c r="M5" s="12" t="s">
        <v>50</v>
      </c>
      <c r="N5" s="13" t="s">
        <v>258</v>
      </c>
      <c r="O5" s="70"/>
      <c r="P5" s="182" t="s">
        <v>279</v>
      </c>
    </row>
    <row r="6" spans="1:18" ht="20.25" customHeight="1">
      <c r="A6" s="14" t="s">
        <v>51</v>
      </c>
      <c r="B6" s="15" t="s">
        <v>52</v>
      </c>
      <c r="C6" s="15" t="s">
        <v>52</v>
      </c>
      <c r="D6" s="15" t="s">
        <v>52</v>
      </c>
      <c r="E6" s="15" t="s">
        <v>52</v>
      </c>
      <c r="F6" s="15" t="s">
        <v>52</v>
      </c>
      <c r="G6" s="16">
        <v>94.460677110684657</v>
      </c>
      <c r="H6" s="16">
        <v>94.238007155983851</v>
      </c>
      <c r="I6" s="28">
        <v>94.540823285174469</v>
      </c>
      <c r="J6" s="28">
        <v>94.562709673631076</v>
      </c>
      <c r="K6" s="28">
        <v>94.103243967402832</v>
      </c>
      <c r="L6" s="28">
        <v>95.484137210391324</v>
      </c>
      <c r="M6" s="28">
        <v>94.45264154497066</v>
      </c>
      <c r="N6" s="71">
        <v>98.69140625</v>
      </c>
      <c r="O6" s="177"/>
      <c r="P6" s="183"/>
      <c r="Q6" s="180" t="s">
        <v>253</v>
      </c>
      <c r="R6" s="83" t="s">
        <v>262</v>
      </c>
    </row>
    <row r="7" spans="1:18" ht="20.25" customHeight="1">
      <c r="A7" s="774" t="s">
        <v>155</v>
      </c>
      <c r="B7" s="29" t="s">
        <v>0</v>
      </c>
      <c r="C7" s="26">
        <v>4</v>
      </c>
      <c r="D7" s="22">
        <v>127</v>
      </c>
      <c r="E7" s="22">
        <v>34</v>
      </c>
      <c r="F7" s="26">
        <v>26</v>
      </c>
      <c r="G7" s="16">
        <v>93.867506763830505</v>
      </c>
      <c r="H7" s="16">
        <v>93.577638698768951</v>
      </c>
      <c r="I7" s="28">
        <v>92.556868558567189</v>
      </c>
      <c r="J7" s="28">
        <v>92.741877644495389</v>
      </c>
      <c r="K7" s="28">
        <v>91.156817345500016</v>
      </c>
      <c r="L7" s="28">
        <v>95.179845942105246</v>
      </c>
      <c r="M7" s="28">
        <v>94.598408838970713</v>
      </c>
      <c r="N7" s="71">
        <v>99.375</v>
      </c>
      <c r="O7" s="177"/>
      <c r="P7" s="184">
        <f>VLOOKUP(B7,$Q$6:$R$41,2,0)</f>
        <v>90.788829850398841</v>
      </c>
      <c r="Q7" s="180" t="s">
        <v>0</v>
      </c>
      <c r="R7" s="84">
        <v>90.788829850398841</v>
      </c>
    </row>
    <row r="8" spans="1:18" ht="20.25" customHeight="1">
      <c r="A8" s="774"/>
      <c r="B8" s="29" t="s">
        <v>1</v>
      </c>
      <c r="C8" s="26">
        <v>4</v>
      </c>
      <c r="D8" s="22">
        <v>124</v>
      </c>
      <c r="E8" s="22">
        <v>31</v>
      </c>
      <c r="F8" s="26">
        <v>25</v>
      </c>
      <c r="G8" s="16">
        <v>93.953117583961912</v>
      </c>
      <c r="H8" s="16">
        <v>93.700650088380968</v>
      </c>
      <c r="I8" s="28">
        <v>93.074679746949556</v>
      </c>
      <c r="J8" s="28">
        <v>92.950590627975075</v>
      </c>
      <c r="K8" s="28">
        <v>91.938758477551062</v>
      </c>
      <c r="L8" s="28">
        <v>96.459519084004057</v>
      </c>
      <c r="M8" s="28">
        <v>94.32662042981238</v>
      </c>
      <c r="N8" s="71">
        <v>98.75</v>
      </c>
      <c r="O8" s="177"/>
      <c r="P8" s="184">
        <f t="shared" ref="P8:P38" si="0">VLOOKUP(B8,$Q$6:$R$41,2,0)</f>
        <v>90.15594374508936</v>
      </c>
      <c r="Q8" s="180" t="s">
        <v>1</v>
      </c>
      <c r="R8" s="84">
        <v>90.15594374508936</v>
      </c>
    </row>
    <row r="9" spans="1:18" ht="20.25" customHeight="1">
      <c r="A9" s="774"/>
      <c r="B9" s="29" t="s">
        <v>2</v>
      </c>
      <c r="C9" s="26">
        <v>4</v>
      </c>
      <c r="D9" s="22">
        <v>135</v>
      </c>
      <c r="E9" s="22">
        <v>38</v>
      </c>
      <c r="F9" s="26">
        <v>27</v>
      </c>
      <c r="G9" s="16">
        <v>93.667259686310899</v>
      </c>
      <c r="H9" s="16">
        <v>93.333957564537798</v>
      </c>
      <c r="I9" s="28">
        <v>94.104840081659404</v>
      </c>
      <c r="J9" s="28">
        <v>94.514707349817684</v>
      </c>
      <c r="K9" s="28">
        <v>92.45955459072583</v>
      </c>
      <c r="L9" s="28">
        <v>96.953949367391289</v>
      </c>
      <c r="M9" s="28">
        <v>92.563075047416191</v>
      </c>
      <c r="N9" s="71">
        <v>100</v>
      </c>
      <c r="O9" s="177"/>
      <c r="P9" s="184">
        <f t="shared" si="0"/>
        <v>91.13402830997498</v>
      </c>
      <c r="Q9" s="180" t="s">
        <v>2</v>
      </c>
      <c r="R9" s="84">
        <v>91.13402830997498</v>
      </c>
    </row>
    <row r="10" spans="1:18" ht="20.25" customHeight="1">
      <c r="A10" s="774"/>
      <c r="B10" s="29" t="s">
        <v>3</v>
      </c>
      <c r="C10" s="26">
        <v>4</v>
      </c>
      <c r="D10" s="22">
        <v>175</v>
      </c>
      <c r="E10" s="22">
        <v>69</v>
      </c>
      <c r="F10" s="26">
        <v>32</v>
      </c>
      <c r="G10" s="16">
        <v>92.778211667058173</v>
      </c>
      <c r="H10" s="16">
        <v>92.39811754427177</v>
      </c>
      <c r="I10" s="28">
        <v>93.960514567686417</v>
      </c>
      <c r="J10" s="28">
        <v>93.918668437054578</v>
      </c>
      <c r="K10" s="28">
        <v>93.431291050555558</v>
      </c>
      <c r="L10" s="28">
        <v>95.525351004166652</v>
      </c>
      <c r="M10" s="28">
        <v>90.835720520857137</v>
      </c>
      <c r="N10" s="71">
        <v>100</v>
      </c>
      <c r="O10" s="177"/>
      <c r="P10" s="184">
        <f t="shared" si="0"/>
        <v>91.307663278038433</v>
      </c>
      <c r="Q10" s="180" t="s">
        <v>3</v>
      </c>
      <c r="R10" s="84">
        <v>91.307663278038433</v>
      </c>
    </row>
    <row r="11" spans="1:18" ht="20.25" customHeight="1">
      <c r="A11" s="774"/>
      <c r="B11" s="29" t="s">
        <v>4</v>
      </c>
      <c r="C11" s="26">
        <v>4</v>
      </c>
      <c r="D11" s="22">
        <v>170</v>
      </c>
      <c r="E11" s="22">
        <v>65</v>
      </c>
      <c r="F11" s="26">
        <v>31</v>
      </c>
      <c r="G11" s="16">
        <v>92.880807137507659</v>
      </c>
      <c r="H11" s="16">
        <v>92.874533828955435</v>
      </c>
      <c r="I11" s="28">
        <v>92.226064445878606</v>
      </c>
      <c r="J11" s="28">
        <v>93.528042945925804</v>
      </c>
      <c r="K11" s="28">
        <v>89.287093451901427</v>
      </c>
      <c r="L11" s="28">
        <v>94.06994858463338</v>
      </c>
      <c r="M11" s="28">
        <v>93.523003212032279</v>
      </c>
      <c r="N11" s="71">
        <v>93</v>
      </c>
      <c r="O11" s="177"/>
      <c r="P11" s="184">
        <f t="shared" si="0"/>
        <v>89.649463427958821</v>
      </c>
      <c r="Q11" s="180" t="s">
        <v>4</v>
      </c>
      <c r="R11" s="84">
        <v>89.649463427958821</v>
      </c>
    </row>
    <row r="12" spans="1:18" ht="20.25" customHeight="1">
      <c r="A12" s="774"/>
      <c r="B12" s="29" t="s">
        <v>5</v>
      </c>
      <c r="C12" s="26">
        <v>4</v>
      </c>
      <c r="D12" s="22">
        <v>160</v>
      </c>
      <c r="E12" s="22">
        <v>57</v>
      </c>
      <c r="F12" s="26">
        <v>30</v>
      </c>
      <c r="G12" s="16">
        <v>93.101754951717467</v>
      </c>
      <c r="H12" s="16">
        <v>92.850531528123653</v>
      </c>
      <c r="I12" s="28">
        <v>91.719228574818729</v>
      </c>
      <c r="J12" s="28">
        <v>92.525765498701347</v>
      </c>
      <c r="K12" s="28">
        <v>90.235951179069772</v>
      </c>
      <c r="L12" s="28">
        <v>91.81242773472222</v>
      </c>
      <c r="M12" s="28">
        <v>93.981834481428578</v>
      </c>
      <c r="N12" s="71">
        <v>97.875</v>
      </c>
      <c r="O12" s="177"/>
      <c r="P12" s="184">
        <f t="shared" si="0"/>
        <v>89.687290989558903</v>
      </c>
      <c r="Q12" s="180" t="s">
        <v>5</v>
      </c>
      <c r="R12" s="84">
        <v>89.687290989558903</v>
      </c>
    </row>
    <row r="13" spans="1:18" ht="20.25" customHeight="1">
      <c r="A13" s="774"/>
      <c r="B13" s="29" t="s">
        <v>12</v>
      </c>
      <c r="C13" s="26">
        <v>4</v>
      </c>
      <c r="D13" s="22">
        <v>159</v>
      </c>
      <c r="E13" s="22">
        <v>56</v>
      </c>
      <c r="F13" s="26">
        <v>29</v>
      </c>
      <c r="G13" s="16">
        <v>93.127835276033281</v>
      </c>
      <c r="H13" s="16">
        <v>92.812195027403462</v>
      </c>
      <c r="I13" s="28">
        <v>93.574372113884323</v>
      </c>
      <c r="J13" s="28">
        <v>93.811343217543808</v>
      </c>
      <c r="K13" s="28">
        <v>92.836148236225966</v>
      </c>
      <c r="L13" s="28">
        <v>94.486104558695644</v>
      </c>
      <c r="M13" s="28">
        <v>92.050017940922601</v>
      </c>
      <c r="N13" s="71">
        <v>99.125</v>
      </c>
      <c r="O13" s="177"/>
      <c r="P13" s="184">
        <f t="shared" si="0"/>
        <v>90.845337945829911</v>
      </c>
      <c r="Q13" s="180" t="s">
        <v>12</v>
      </c>
      <c r="R13" s="84">
        <v>90.845337945829911</v>
      </c>
    </row>
    <row r="14" spans="1:18" ht="20.25" customHeight="1">
      <c r="A14" s="774"/>
      <c r="B14" s="29" t="s">
        <v>6</v>
      </c>
      <c r="C14" s="26">
        <v>4</v>
      </c>
      <c r="D14" s="22">
        <v>105</v>
      </c>
      <c r="E14" s="22">
        <v>21</v>
      </c>
      <c r="F14" s="26">
        <v>20</v>
      </c>
      <c r="G14" s="16">
        <v>94.261916748370339</v>
      </c>
      <c r="H14" s="16">
        <v>94.058596577231938</v>
      </c>
      <c r="I14" s="28">
        <v>94.289346923439254</v>
      </c>
      <c r="J14" s="28">
        <v>94.296785623611157</v>
      </c>
      <c r="K14" s="28">
        <v>94.763176886749406</v>
      </c>
      <c r="L14" s="28">
        <v>92.923576889772733</v>
      </c>
      <c r="M14" s="28">
        <v>93.827846231024623</v>
      </c>
      <c r="N14" s="71">
        <v>98.125</v>
      </c>
      <c r="O14" s="177"/>
      <c r="P14" s="184">
        <f t="shared" si="0"/>
        <v>92.025606248749654</v>
      </c>
      <c r="Q14" s="180" t="s">
        <v>6</v>
      </c>
      <c r="R14" s="84">
        <v>92.025606248749654</v>
      </c>
    </row>
    <row r="15" spans="1:18" ht="20.25" customHeight="1">
      <c r="A15" s="774"/>
      <c r="B15" s="29" t="s">
        <v>11</v>
      </c>
      <c r="C15" s="26">
        <v>4</v>
      </c>
      <c r="D15" s="22">
        <v>119</v>
      </c>
      <c r="E15" s="22">
        <v>26</v>
      </c>
      <c r="F15" s="26">
        <v>24</v>
      </c>
      <c r="G15" s="16">
        <v>94.062323963193293</v>
      </c>
      <c r="H15" s="16">
        <v>93.815604171782411</v>
      </c>
      <c r="I15" s="28">
        <v>94.362489859261487</v>
      </c>
      <c r="J15" s="28">
        <v>93.996945916743087</v>
      </c>
      <c r="K15" s="28">
        <v>94.386684141712038</v>
      </c>
      <c r="L15" s="28">
        <v>95.722422256249985</v>
      </c>
      <c r="M15" s="28">
        <v>93.268718484303335</v>
      </c>
      <c r="N15" s="71">
        <v>98.75</v>
      </c>
      <c r="O15" s="177"/>
      <c r="P15" s="184">
        <f t="shared" si="0"/>
        <v>91.158545660843473</v>
      </c>
      <c r="Q15" s="180" t="s">
        <v>11</v>
      </c>
      <c r="R15" s="84">
        <v>91.158545660843473</v>
      </c>
    </row>
    <row r="16" spans="1:18" ht="20.25" customHeight="1">
      <c r="A16" s="774"/>
      <c r="B16" s="74" t="s">
        <v>17</v>
      </c>
      <c r="C16" s="75">
        <v>4</v>
      </c>
      <c r="D16" s="22">
        <v>82</v>
      </c>
      <c r="E16" s="22">
        <v>9</v>
      </c>
      <c r="F16" s="26">
        <v>18</v>
      </c>
      <c r="G16" s="16">
        <v>94.834908402194316</v>
      </c>
      <c r="H16" s="16">
        <v>94.628850949678224</v>
      </c>
      <c r="I16" s="28">
        <v>94.771503429444536</v>
      </c>
      <c r="J16" s="28">
        <v>95.020531378652336</v>
      </c>
      <c r="K16" s="28">
        <v>94.108947433035652</v>
      </c>
      <c r="L16" s="28">
        <v>95.334111915178553</v>
      </c>
      <c r="M16" s="28">
        <v>94.486198469911912</v>
      </c>
      <c r="N16" s="71">
        <v>98.75</v>
      </c>
      <c r="O16" s="177"/>
      <c r="P16" s="184">
        <f t="shared" si="0"/>
        <v>91.4899806290654</v>
      </c>
      <c r="Q16" s="180" t="s">
        <v>7</v>
      </c>
      <c r="R16" s="84">
        <v>91.631886691525466</v>
      </c>
    </row>
    <row r="17" spans="1:18" ht="20.25" customHeight="1">
      <c r="A17" s="774"/>
      <c r="B17" s="29" t="s">
        <v>7</v>
      </c>
      <c r="C17" s="26">
        <v>4</v>
      </c>
      <c r="D17" s="22">
        <v>102</v>
      </c>
      <c r="E17" s="22">
        <v>19</v>
      </c>
      <c r="F17" s="26">
        <v>19</v>
      </c>
      <c r="G17" s="16">
        <v>94.291448313448242</v>
      </c>
      <c r="H17" s="16">
        <v>93.990998224682357</v>
      </c>
      <c r="I17" s="28">
        <v>94.964810397806289</v>
      </c>
      <c r="J17" s="28">
        <v>95.359709173307522</v>
      </c>
      <c r="K17" s="28">
        <v>93.539426036575833</v>
      </c>
      <c r="L17" s="28">
        <v>97.048895824999988</v>
      </c>
      <c r="M17" s="28">
        <v>93.017186051558426</v>
      </c>
      <c r="N17" s="71">
        <v>100</v>
      </c>
      <c r="O17" s="177"/>
      <c r="P17" s="184">
        <f t="shared" si="0"/>
        <v>91.631886691525466</v>
      </c>
      <c r="Q17" s="180" t="s">
        <v>8</v>
      </c>
      <c r="R17" s="84">
        <v>90.521379524986443</v>
      </c>
    </row>
    <row r="18" spans="1:18" ht="20.25" customHeight="1">
      <c r="A18" s="774"/>
      <c r="B18" s="29" t="s">
        <v>8</v>
      </c>
      <c r="C18" s="26">
        <v>4</v>
      </c>
      <c r="D18" s="22">
        <v>109</v>
      </c>
      <c r="E18" s="22">
        <v>23</v>
      </c>
      <c r="F18" s="26">
        <v>21</v>
      </c>
      <c r="G18" s="16">
        <v>94.16490909219057</v>
      </c>
      <c r="H18" s="16">
        <v>93.923588518095343</v>
      </c>
      <c r="I18" s="28">
        <v>93.347098357540801</v>
      </c>
      <c r="J18" s="28">
        <v>93.721678288188855</v>
      </c>
      <c r="K18" s="28">
        <v>92.005331059625775</v>
      </c>
      <c r="L18" s="28">
        <v>95.529651926785718</v>
      </c>
      <c r="M18" s="28">
        <v>94.500078678649885</v>
      </c>
      <c r="N18" s="71">
        <v>98.75</v>
      </c>
      <c r="O18" s="177"/>
      <c r="P18" s="184">
        <f t="shared" si="0"/>
        <v>90.521379524986443</v>
      </c>
      <c r="Q18" s="180" t="s">
        <v>9</v>
      </c>
      <c r="R18" s="84">
        <v>90.985154598626806</v>
      </c>
    </row>
    <row r="19" spans="1:18" ht="20.25" customHeight="1">
      <c r="A19" s="774"/>
      <c r="B19" s="29" t="s">
        <v>9</v>
      </c>
      <c r="C19" s="26">
        <v>4</v>
      </c>
      <c r="D19" s="22">
        <v>68</v>
      </c>
      <c r="E19" s="22">
        <v>5</v>
      </c>
      <c r="F19" s="26">
        <v>15</v>
      </c>
      <c r="G19" s="16">
        <v>95.134618019844766</v>
      </c>
      <c r="H19" s="16">
        <v>94.878545284047121</v>
      </c>
      <c r="I19" s="28">
        <v>94.489447112071517</v>
      </c>
      <c r="J19" s="28">
        <v>93.764902454816436</v>
      </c>
      <c r="K19" s="28">
        <v>94.407835033437479</v>
      </c>
      <c r="L19" s="28">
        <v>97.543173323913294</v>
      </c>
      <c r="M19" s="28">
        <v>95.267643456022725</v>
      </c>
      <c r="N19" s="71">
        <v>100</v>
      </c>
      <c r="O19" s="177"/>
      <c r="P19" s="184">
        <f t="shared" si="0"/>
        <v>90.985154598626806</v>
      </c>
      <c r="Q19" s="180" t="s">
        <v>10</v>
      </c>
      <c r="R19" s="84">
        <v>91.48322456835642</v>
      </c>
    </row>
    <row r="20" spans="1:18" ht="20.25" customHeight="1">
      <c r="A20" s="774"/>
      <c r="B20" s="29" t="s">
        <v>10</v>
      </c>
      <c r="C20" s="26">
        <v>4</v>
      </c>
      <c r="D20" s="22">
        <v>58</v>
      </c>
      <c r="E20" s="22">
        <v>3</v>
      </c>
      <c r="F20" s="26">
        <v>13</v>
      </c>
      <c r="G20" s="16">
        <v>95.259324189698006</v>
      </c>
      <c r="H20" s="16">
        <v>95.075604410208427</v>
      </c>
      <c r="I20" s="28">
        <v>94.664012928564603</v>
      </c>
      <c r="J20" s="28">
        <v>94.947311434343405</v>
      </c>
      <c r="K20" s="28">
        <v>94.864338311299605</v>
      </c>
      <c r="L20" s="28">
        <v>92.851933398863636</v>
      </c>
      <c r="M20" s="28">
        <v>95.487195891852267</v>
      </c>
      <c r="N20" s="71">
        <v>98.75</v>
      </c>
      <c r="O20" s="177"/>
      <c r="P20" s="184">
        <f t="shared" si="0"/>
        <v>91.48322456835642</v>
      </c>
      <c r="Q20" s="181" t="s">
        <v>35</v>
      </c>
      <c r="R20" s="85">
        <v>90.874950372302891</v>
      </c>
    </row>
    <row r="21" spans="1:18" ht="20.25" customHeight="1">
      <c r="A21" s="774"/>
      <c r="B21" s="29" t="s">
        <v>14</v>
      </c>
      <c r="C21" s="26">
        <v>5</v>
      </c>
      <c r="D21" s="22">
        <v>47</v>
      </c>
      <c r="E21" s="22">
        <v>46</v>
      </c>
      <c r="F21" s="26">
        <v>10</v>
      </c>
      <c r="G21" s="16">
        <v>95.513958721515607</v>
      </c>
      <c r="H21" s="16">
        <v>95.389693391069073</v>
      </c>
      <c r="I21" s="28">
        <v>94.880221707327522</v>
      </c>
      <c r="J21" s="28">
        <v>94.079451152016176</v>
      </c>
      <c r="K21" s="28">
        <v>98.277033942361115</v>
      </c>
      <c r="L21" s="28">
        <v>90.844806927777782</v>
      </c>
      <c r="M21" s="28">
        <v>95.899165074810625</v>
      </c>
      <c r="N21" s="71">
        <v>97.875</v>
      </c>
      <c r="O21" s="177"/>
      <c r="P21" s="184">
        <f t="shared" si="0"/>
        <v>92.696765354026581</v>
      </c>
      <c r="Q21" s="180" t="s">
        <v>14</v>
      </c>
      <c r="R21" s="84">
        <v>92.696765354026581</v>
      </c>
    </row>
    <row r="22" spans="1:18" ht="20.25" customHeight="1">
      <c r="A22" s="774"/>
      <c r="B22" s="29" t="s">
        <v>13</v>
      </c>
      <c r="C22" s="26">
        <v>5</v>
      </c>
      <c r="D22" s="22">
        <v>114</v>
      </c>
      <c r="E22" s="22">
        <v>90</v>
      </c>
      <c r="F22" s="26">
        <v>23</v>
      </c>
      <c r="G22" s="16">
        <v>94.107293134900331</v>
      </c>
      <c r="H22" s="16">
        <v>93.862940142000355</v>
      </c>
      <c r="I22" s="28">
        <v>93.597258278782704</v>
      </c>
      <c r="J22" s="28">
        <v>94.18698280657901</v>
      </c>
      <c r="K22" s="28">
        <v>93.494459754326925</v>
      </c>
      <c r="L22" s="28">
        <v>91.952527410416636</v>
      </c>
      <c r="M22" s="28">
        <v>94.128622005218006</v>
      </c>
      <c r="N22" s="71">
        <v>98.75</v>
      </c>
      <c r="O22" s="177"/>
      <c r="P22" s="184">
        <f t="shared" si="0"/>
        <v>91.973120659977155</v>
      </c>
      <c r="Q22" s="180" t="s">
        <v>260</v>
      </c>
      <c r="R22" s="84">
        <v>91.973120659977155</v>
      </c>
    </row>
    <row r="23" spans="1:18" ht="20.25" customHeight="1">
      <c r="A23" s="774"/>
      <c r="B23" s="29" t="s">
        <v>15</v>
      </c>
      <c r="C23" s="26">
        <v>5</v>
      </c>
      <c r="D23" s="22">
        <v>38</v>
      </c>
      <c r="E23" s="22">
        <v>37</v>
      </c>
      <c r="F23" s="26">
        <v>7</v>
      </c>
      <c r="G23" s="16">
        <v>95.672113752783872</v>
      </c>
      <c r="H23" s="16">
        <v>95.510119739772506</v>
      </c>
      <c r="I23" s="28">
        <v>94.728295335246543</v>
      </c>
      <c r="J23" s="28">
        <v>94.453009655106754</v>
      </c>
      <c r="K23" s="28">
        <v>93.228290959994908</v>
      </c>
      <c r="L23" s="28">
        <v>98.610624948749987</v>
      </c>
      <c r="M23" s="28">
        <v>96.291944144298455</v>
      </c>
      <c r="N23" s="71">
        <v>98.75</v>
      </c>
      <c r="O23" s="177"/>
      <c r="P23" s="184">
        <f t="shared" si="0"/>
        <v>92.860272049964848</v>
      </c>
      <c r="Q23" s="180" t="s">
        <v>15</v>
      </c>
      <c r="R23" s="84">
        <v>92.860272049964848</v>
      </c>
    </row>
    <row r="24" spans="1:18" ht="20.25" customHeight="1">
      <c r="A24" s="774"/>
      <c r="B24" s="29" t="s">
        <v>16</v>
      </c>
      <c r="C24" s="26">
        <v>5</v>
      </c>
      <c r="D24" s="22">
        <v>1</v>
      </c>
      <c r="E24" s="22">
        <v>1</v>
      </c>
      <c r="F24" s="26">
        <v>1</v>
      </c>
      <c r="G24" s="16">
        <v>97.024510500005988</v>
      </c>
      <c r="H24" s="16">
        <v>96.933695263164196</v>
      </c>
      <c r="I24" s="28">
        <v>96.720315351186713</v>
      </c>
      <c r="J24" s="28">
        <v>97.493317677027079</v>
      </c>
      <c r="K24" s="28">
        <v>95.810844853013393</v>
      </c>
      <c r="L24" s="28">
        <v>96.231621717708322</v>
      </c>
      <c r="M24" s="28">
        <v>97.147075175141666</v>
      </c>
      <c r="N24" s="71">
        <v>98.75</v>
      </c>
      <c r="O24" s="177"/>
      <c r="P24" s="184">
        <f t="shared" si="0"/>
        <v>93.938340655077994</v>
      </c>
      <c r="Q24" s="180" t="s">
        <v>16</v>
      </c>
      <c r="R24" s="84">
        <v>93.938340655077994</v>
      </c>
    </row>
    <row r="25" spans="1:18" ht="20.25" customHeight="1">
      <c r="A25" s="774"/>
      <c r="B25" s="29" t="s">
        <v>18</v>
      </c>
      <c r="C25" s="26">
        <v>5</v>
      </c>
      <c r="D25" s="22">
        <v>61</v>
      </c>
      <c r="E25" s="22">
        <v>57</v>
      </c>
      <c r="F25" s="26">
        <v>14</v>
      </c>
      <c r="G25" s="16">
        <v>95.227583816014814</v>
      </c>
      <c r="H25" s="16">
        <v>94.9764040168577</v>
      </c>
      <c r="I25" s="28">
        <v>95.297778580211641</v>
      </c>
      <c r="J25" s="28">
        <v>95.839484154807764</v>
      </c>
      <c r="K25" s="28">
        <v>94.473757232558143</v>
      </c>
      <c r="L25" s="28">
        <v>94.956772736743503</v>
      </c>
      <c r="M25" s="28">
        <v>94.655029453503758</v>
      </c>
      <c r="N25" s="71">
        <v>100</v>
      </c>
      <c r="O25" s="177"/>
      <c r="P25" s="184">
        <f t="shared" si="0"/>
        <v>93.256580805093719</v>
      </c>
      <c r="Q25" s="180" t="s">
        <v>17</v>
      </c>
      <c r="R25" s="84">
        <v>91.4899806290654</v>
      </c>
    </row>
    <row r="26" spans="1:18" ht="20.25" customHeight="1">
      <c r="A26" s="774"/>
      <c r="B26" s="29" t="s">
        <v>19</v>
      </c>
      <c r="C26" s="26">
        <v>5</v>
      </c>
      <c r="D26" s="22">
        <v>145</v>
      </c>
      <c r="E26" s="22">
        <v>101</v>
      </c>
      <c r="F26" s="26">
        <v>28</v>
      </c>
      <c r="G26" s="16">
        <v>93.422688899819306</v>
      </c>
      <c r="H26" s="16">
        <v>93.168619894546651</v>
      </c>
      <c r="I26" s="28">
        <v>93.536161492492297</v>
      </c>
      <c r="J26" s="28">
        <v>90.787019144512286</v>
      </c>
      <c r="K26" s="28">
        <v>96.32083010736406</v>
      </c>
      <c r="L26" s="28">
        <v>98.087051713636342</v>
      </c>
      <c r="M26" s="28">
        <v>92.801078296601005</v>
      </c>
      <c r="N26" s="71">
        <v>98.25</v>
      </c>
      <c r="O26" s="177"/>
      <c r="P26" s="184">
        <f t="shared" si="0"/>
        <v>91.105098439637331</v>
      </c>
      <c r="Q26" s="180" t="s">
        <v>18</v>
      </c>
      <c r="R26" s="84">
        <v>93.256580805093719</v>
      </c>
    </row>
    <row r="27" spans="1:18" ht="20.25" customHeight="1">
      <c r="A27" s="774"/>
      <c r="B27" s="29" t="s">
        <v>20</v>
      </c>
      <c r="C27" s="26">
        <v>5</v>
      </c>
      <c r="D27" s="22">
        <v>8</v>
      </c>
      <c r="E27" s="22">
        <v>8</v>
      </c>
      <c r="F27" s="26">
        <v>3</v>
      </c>
      <c r="G27" s="16">
        <v>96.546414818431387</v>
      </c>
      <c r="H27" s="16">
        <v>96.364647177296206</v>
      </c>
      <c r="I27" s="28">
        <v>96.363114487929664</v>
      </c>
      <c r="J27" s="28">
        <v>97.274955371103403</v>
      </c>
      <c r="K27" s="28">
        <v>95.108461218243264</v>
      </c>
      <c r="L27" s="28">
        <v>96.022872369736845</v>
      </c>
      <c r="M27" s="28">
        <v>96.366179866662748</v>
      </c>
      <c r="N27" s="71">
        <v>100</v>
      </c>
      <c r="O27" s="177"/>
      <c r="P27" s="184">
        <f t="shared" si="0"/>
        <v>93.192506054664776</v>
      </c>
      <c r="Q27" s="180" t="s">
        <v>19</v>
      </c>
      <c r="R27" s="84">
        <v>91.105098439637331</v>
      </c>
    </row>
    <row r="28" spans="1:18" ht="20.25" customHeight="1">
      <c r="A28" s="774"/>
      <c r="B28" s="29" t="s">
        <v>21</v>
      </c>
      <c r="C28" s="26">
        <v>5</v>
      </c>
      <c r="D28" s="22">
        <v>5</v>
      </c>
      <c r="E28" s="22">
        <v>5</v>
      </c>
      <c r="F28" s="26">
        <v>2</v>
      </c>
      <c r="G28" s="16">
        <v>96.676338506936418</v>
      </c>
      <c r="H28" s="16">
        <v>96.665882638880447</v>
      </c>
      <c r="I28" s="28">
        <v>96.82394698070965</v>
      </c>
      <c r="J28" s="28">
        <v>95.827802350595334</v>
      </c>
      <c r="K28" s="28">
        <v>97.555526767452847</v>
      </c>
      <c r="L28" s="28">
        <v>98.620043789999983</v>
      </c>
      <c r="M28" s="28">
        <v>96.507818297051244</v>
      </c>
      <c r="N28" s="71">
        <v>96.875</v>
      </c>
      <c r="O28" s="177"/>
      <c r="P28" s="184">
        <f t="shared" si="0"/>
        <v>92.749173446354959</v>
      </c>
      <c r="Q28" s="180" t="s">
        <v>20</v>
      </c>
      <c r="R28" s="84">
        <v>93.192506054664776</v>
      </c>
    </row>
    <row r="29" spans="1:18" ht="20.25" customHeight="1">
      <c r="A29" s="774"/>
      <c r="B29" s="29" t="s">
        <v>22</v>
      </c>
      <c r="C29" s="26">
        <v>5</v>
      </c>
      <c r="D29" s="22">
        <v>40</v>
      </c>
      <c r="E29" s="22">
        <v>39</v>
      </c>
      <c r="F29" s="26">
        <v>8</v>
      </c>
      <c r="G29" s="16">
        <v>95.601902122631728</v>
      </c>
      <c r="H29" s="16">
        <v>95.502002234349192</v>
      </c>
      <c r="I29" s="28">
        <v>96.751774470536446</v>
      </c>
      <c r="J29" s="28">
        <v>97.030972811249782</v>
      </c>
      <c r="K29" s="28">
        <v>96.957704656914899</v>
      </c>
      <c r="L29" s="28">
        <v>95.207730179545436</v>
      </c>
      <c r="M29" s="28">
        <v>94.252229998161951</v>
      </c>
      <c r="N29" s="71">
        <v>97.5</v>
      </c>
      <c r="O29" s="177"/>
      <c r="P29" s="184">
        <f t="shared" si="0"/>
        <v>92.722922785257666</v>
      </c>
      <c r="Q29" s="180" t="s">
        <v>21</v>
      </c>
      <c r="R29" s="84">
        <v>92.749173446354959</v>
      </c>
    </row>
    <row r="30" spans="1:18" ht="20.25" customHeight="1">
      <c r="A30" s="774"/>
      <c r="B30" s="29" t="s">
        <v>23</v>
      </c>
      <c r="C30" s="26">
        <v>5</v>
      </c>
      <c r="D30" s="22">
        <v>48</v>
      </c>
      <c r="E30" s="22">
        <v>47</v>
      </c>
      <c r="F30" s="26">
        <v>11</v>
      </c>
      <c r="G30" s="16">
        <v>95.461671055529578</v>
      </c>
      <c r="H30" s="16">
        <v>95.354390584767984</v>
      </c>
      <c r="I30" s="28">
        <v>95.808518445119063</v>
      </c>
      <c r="J30" s="28">
        <v>94.814468698236112</v>
      </c>
      <c r="K30" s="28">
        <v>97.063415680434801</v>
      </c>
      <c r="L30" s="28">
        <v>96.709000601136353</v>
      </c>
      <c r="M30" s="28">
        <v>94.900262724416905</v>
      </c>
      <c r="N30" s="71">
        <v>97.5</v>
      </c>
      <c r="O30" s="177"/>
      <c r="P30" s="184">
        <f t="shared" si="0"/>
        <v>91.357282171058159</v>
      </c>
      <c r="Q30" s="180" t="s">
        <v>22</v>
      </c>
      <c r="R30" s="84">
        <v>92.722922785257666</v>
      </c>
    </row>
    <row r="31" spans="1:18" ht="20.25" customHeight="1">
      <c r="A31" s="774"/>
      <c r="B31" s="29" t="s">
        <v>24</v>
      </c>
      <c r="C31" s="26">
        <v>5</v>
      </c>
      <c r="D31" s="22">
        <v>10</v>
      </c>
      <c r="E31" s="22">
        <v>10</v>
      </c>
      <c r="F31" s="26">
        <v>4</v>
      </c>
      <c r="G31" s="16">
        <v>96.47104010485819</v>
      </c>
      <c r="H31" s="16">
        <v>96.515568531429679</v>
      </c>
      <c r="I31" s="28">
        <v>96.246553996261412</v>
      </c>
      <c r="J31" s="28">
        <v>97.445085446759336</v>
      </c>
      <c r="K31" s="28">
        <v>93.728931893491634</v>
      </c>
      <c r="L31" s="28">
        <v>97.406468061111099</v>
      </c>
      <c r="M31" s="28">
        <v>96.784583066597946</v>
      </c>
      <c r="N31" s="71">
        <v>95.625</v>
      </c>
      <c r="O31" s="177"/>
      <c r="P31" s="184">
        <f t="shared" si="0"/>
        <v>92.766594156823118</v>
      </c>
      <c r="Q31" s="180" t="s">
        <v>23</v>
      </c>
      <c r="R31" s="84">
        <v>91.357282171058159</v>
      </c>
    </row>
    <row r="32" spans="1:18" ht="20.25" customHeight="1">
      <c r="A32" s="774"/>
      <c r="B32" s="29" t="s">
        <v>25</v>
      </c>
      <c r="C32" s="26">
        <v>5</v>
      </c>
      <c r="D32" s="22">
        <v>72</v>
      </c>
      <c r="E32" s="22">
        <v>66</v>
      </c>
      <c r="F32" s="26">
        <v>16</v>
      </c>
      <c r="G32" s="16">
        <v>95.057682782449334</v>
      </c>
      <c r="H32" s="16">
        <v>94.863350297315094</v>
      </c>
      <c r="I32" s="28">
        <v>94.517934261365511</v>
      </c>
      <c r="J32" s="28">
        <v>93.991353914186803</v>
      </c>
      <c r="K32" s="28">
        <v>93.259083791071447</v>
      </c>
      <c r="L32" s="28">
        <v>99.066730826785701</v>
      </c>
      <c r="M32" s="28">
        <v>95.208766333264677</v>
      </c>
      <c r="N32" s="71">
        <v>98.75</v>
      </c>
      <c r="O32" s="177"/>
      <c r="P32" s="184">
        <f t="shared" si="0"/>
        <v>93.120276917768123</v>
      </c>
      <c r="Q32" s="180" t="s">
        <v>24</v>
      </c>
      <c r="R32" s="84">
        <v>92.766594156823118</v>
      </c>
    </row>
    <row r="33" spans="1:18" ht="20.25" customHeight="1">
      <c r="A33" s="774"/>
      <c r="B33" s="29" t="s">
        <v>26</v>
      </c>
      <c r="C33" s="26">
        <v>5</v>
      </c>
      <c r="D33" s="22">
        <v>43</v>
      </c>
      <c r="E33" s="22">
        <v>42</v>
      </c>
      <c r="F33" s="26">
        <v>9</v>
      </c>
      <c r="G33" s="16">
        <v>95.594348507986851</v>
      </c>
      <c r="H33" s="16">
        <v>95.382208955775639</v>
      </c>
      <c r="I33" s="28">
        <v>94.708506707832072</v>
      </c>
      <c r="J33" s="28">
        <v>94.474872251577594</v>
      </c>
      <c r="K33" s="28">
        <v>94.999652075</v>
      </c>
      <c r="L33" s="28">
        <v>94.882737303947351</v>
      </c>
      <c r="M33" s="28">
        <v>96.055911203719191</v>
      </c>
      <c r="N33" s="71">
        <v>99.625</v>
      </c>
      <c r="O33" s="177"/>
      <c r="P33" s="184">
        <f t="shared" si="0"/>
        <v>92.527898891595541</v>
      </c>
      <c r="Q33" s="180" t="s">
        <v>25</v>
      </c>
      <c r="R33" s="84">
        <v>93.120276917768123</v>
      </c>
    </row>
    <row r="34" spans="1:18" ht="20.25" customHeight="1">
      <c r="A34" s="774"/>
      <c r="B34" s="29" t="s">
        <v>27</v>
      </c>
      <c r="C34" s="26">
        <v>5</v>
      </c>
      <c r="D34" s="22">
        <v>110</v>
      </c>
      <c r="E34" s="22">
        <v>87</v>
      </c>
      <c r="F34" s="26">
        <v>22</v>
      </c>
      <c r="G34" s="16">
        <v>94.164888874498729</v>
      </c>
      <c r="H34" s="16">
        <v>93.857777762630249</v>
      </c>
      <c r="I34" s="28">
        <v>93.773236961748836</v>
      </c>
      <c r="J34" s="28">
        <v>93.236689255978291</v>
      </c>
      <c r="K34" s="28">
        <v>94.993531659612202</v>
      </c>
      <c r="L34" s="28">
        <v>93.21517478088235</v>
      </c>
      <c r="M34" s="28">
        <v>93.942318563511662</v>
      </c>
      <c r="N34" s="71">
        <v>100</v>
      </c>
      <c r="O34" s="177"/>
      <c r="P34" s="184">
        <f t="shared" si="0"/>
        <v>92.266028245983364</v>
      </c>
      <c r="Q34" s="180" t="s">
        <v>26</v>
      </c>
      <c r="R34" s="84">
        <v>92.527898891595541</v>
      </c>
    </row>
    <row r="35" spans="1:18" ht="20.25" customHeight="1">
      <c r="A35" s="774"/>
      <c r="B35" s="29" t="s">
        <v>28</v>
      </c>
      <c r="C35" s="26">
        <v>5</v>
      </c>
      <c r="D35" s="22">
        <v>74</v>
      </c>
      <c r="E35" s="22">
        <v>68</v>
      </c>
      <c r="F35" s="26">
        <v>17</v>
      </c>
      <c r="G35" s="16">
        <v>94.941110321880132</v>
      </c>
      <c r="H35" s="16">
        <v>94.674852970400138</v>
      </c>
      <c r="I35" s="28">
        <v>94.027654936396871</v>
      </c>
      <c r="J35" s="28">
        <v>93.601489414473733</v>
      </c>
      <c r="K35" s="28">
        <v>95.76577200296164</v>
      </c>
      <c r="L35" s="28">
        <v>91.997507015277762</v>
      </c>
      <c r="M35" s="28">
        <v>95.322051004403406</v>
      </c>
      <c r="N35" s="71">
        <v>100</v>
      </c>
      <c r="O35" s="177"/>
      <c r="P35" s="184">
        <f t="shared" si="0"/>
        <v>91.761831936139245</v>
      </c>
      <c r="Q35" s="180" t="s">
        <v>27</v>
      </c>
      <c r="R35" s="84">
        <v>92.266028245983364</v>
      </c>
    </row>
    <row r="36" spans="1:18" ht="20.25" customHeight="1">
      <c r="A36" s="774"/>
      <c r="B36" s="29" t="s">
        <v>29</v>
      </c>
      <c r="C36" s="26">
        <v>5</v>
      </c>
      <c r="D36" s="22">
        <v>49</v>
      </c>
      <c r="E36" s="22">
        <v>48</v>
      </c>
      <c r="F36" s="26">
        <v>12</v>
      </c>
      <c r="G36" s="16">
        <v>95.417879940454725</v>
      </c>
      <c r="H36" s="16">
        <v>95.209610463636551</v>
      </c>
      <c r="I36" s="28">
        <v>95.884930002447561</v>
      </c>
      <c r="J36" s="28">
        <v>96.63127327955786</v>
      </c>
      <c r="K36" s="28">
        <v>95.459878767857163</v>
      </c>
      <c r="L36" s="28">
        <v>93.990855544999988</v>
      </c>
      <c r="M36" s="28">
        <v>94.534290924825541</v>
      </c>
      <c r="N36" s="71">
        <v>99.375</v>
      </c>
      <c r="O36" s="177"/>
      <c r="P36" s="184">
        <f t="shared" si="0"/>
        <v>92.000353127496837</v>
      </c>
      <c r="Q36" s="180" t="s">
        <v>28</v>
      </c>
      <c r="R36" s="84">
        <v>91.761831936139245</v>
      </c>
    </row>
    <row r="37" spans="1:18" ht="20.25" customHeight="1">
      <c r="A37" s="774"/>
      <c r="B37" s="29" t="s">
        <v>30</v>
      </c>
      <c r="C37" s="26">
        <v>5</v>
      </c>
      <c r="D37" s="22">
        <v>12</v>
      </c>
      <c r="E37" s="22">
        <v>12</v>
      </c>
      <c r="F37" s="26">
        <v>5</v>
      </c>
      <c r="G37" s="16">
        <v>96.328656925393744</v>
      </c>
      <c r="H37" s="16">
        <v>96.135428342519731</v>
      </c>
      <c r="I37" s="28">
        <v>96.739965929546983</v>
      </c>
      <c r="J37" s="28">
        <v>97.668041018214353</v>
      </c>
      <c r="K37" s="28">
        <v>95.686804446992383</v>
      </c>
      <c r="L37" s="28">
        <v>95.646670793055549</v>
      </c>
      <c r="M37" s="28">
        <v>95.530890755492464</v>
      </c>
      <c r="N37" s="71">
        <v>100</v>
      </c>
      <c r="O37" s="177"/>
      <c r="P37" s="184">
        <f t="shared" si="0"/>
        <v>93.162808111017426</v>
      </c>
      <c r="Q37" s="180" t="s">
        <v>29</v>
      </c>
      <c r="R37" s="84">
        <v>92.000353127496837</v>
      </c>
    </row>
    <row r="38" spans="1:18" ht="20.25" customHeight="1" thickBot="1">
      <c r="A38" s="775"/>
      <c r="B38" s="35" t="s">
        <v>31</v>
      </c>
      <c r="C38" s="27">
        <v>5</v>
      </c>
      <c r="D38" s="24">
        <v>35</v>
      </c>
      <c r="E38" s="24">
        <v>35</v>
      </c>
      <c r="F38" s="27">
        <v>6</v>
      </c>
      <c r="G38" s="36">
        <v>95.752605524653248</v>
      </c>
      <c r="H38" s="36">
        <v>95.568532131213942</v>
      </c>
      <c r="I38" s="37">
        <v>97.173720221794696</v>
      </c>
      <c r="J38" s="37">
        <v>96.532657573790388</v>
      </c>
      <c r="K38" s="37">
        <v>97.18529288888891</v>
      </c>
      <c r="L38" s="37">
        <v>99.24368170394736</v>
      </c>
      <c r="M38" s="37">
        <v>93.963344040633189</v>
      </c>
      <c r="N38" s="73">
        <v>99.25</v>
      </c>
      <c r="O38" s="177"/>
      <c r="P38" s="185">
        <f t="shared" si="0"/>
        <v>94.189414419144356</v>
      </c>
      <c r="Q38" s="180" t="s">
        <v>30</v>
      </c>
      <c r="R38" s="84">
        <v>93.162808111017426</v>
      </c>
    </row>
    <row r="39" spans="1:18" s="10" customFormat="1" ht="20.25" customHeight="1" thickBot="1">
      <c r="A39" s="76"/>
      <c r="B39" s="42"/>
      <c r="C39" s="43"/>
      <c r="D39" s="43"/>
      <c r="E39" s="43"/>
      <c r="F39" s="43"/>
      <c r="G39" s="44"/>
      <c r="H39" s="44"/>
      <c r="I39" s="44"/>
      <c r="J39" s="44"/>
      <c r="K39" s="44"/>
      <c r="L39" s="44"/>
      <c r="M39" s="44"/>
      <c r="P39" s="70"/>
      <c r="Q39" s="81" t="s">
        <v>31</v>
      </c>
      <c r="R39" s="84">
        <v>94.189414419144356</v>
      </c>
    </row>
    <row r="40" spans="1:18" ht="20.25" customHeight="1">
      <c r="A40" s="772" t="s">
        <v>38</v>
      </c>
      <c r="B40" s="767" t="s">
        <v>39</v>
      </c>
      <c r="C40" s="767" t="s">
        <v>40</v>
      </c>
      <c r="D40" s="767" t="s">
        <v>41</v>
      </c>
      <c r="E40" s="767" t="s">
        <v>42</v>
      </c>
      <c r="F40" s="767" t="s">
        <v>43</v>
      </c>
      <c r="G40" s="769" t="s">
        <v>255</v>
      </c>
      <c r="H40" s="769" t="s">
        <v>256</v>
      </c>
      <c r="I40" s="767" t="s">
        <v>44</v>
      </c>
      <c r="J40" s="767"/>
      <c r="K40" s="767"/>
      <c r="L40" s="767"/>
      <c r="M40" s="767" t="s">
        <v>45</v>
      </c>
      <c r="N40" s="770" t="s">
        <v>259</v>
      </c>
      <c r="O40" s="175"/>
      <c r="Q40" s="82" t="s">
        <v>34</v>
      </c>
      <c r="R40" s="85">
        <v>92.586170992428762</v>
      </c>
    </row>
    <row r="41" spans="1:18" ht="20.25" customHeight="1">
      <c r="A41" s="773"/>
      <c r="B41" s="768"/>
      <c r="C41" s="768"/>
      <c r="D41" s="768"/>
      <c r="E41" s="768"/>
      <c r="F41" s="768"/>
      <c r="G41" s="768"/>
      <c r="H41" s="768"/>
      <c r="I41" s="12" t="s">
        <v>46</v>
      </c>
      <c r="J41" s="12" t="s">
        <v>47</v>
      </c>
      <c r="K41" s="12" t="s">
        <v>48</v>
      </c>
      <c r="L41" s="12" t="s">
        <v>49</v>
      </c>
      <c r="M41" s="768"/>
      <c r="N41" s="771"/>
      <c r="O41" s="176"/>
      <c r="Q41" s="82" t="s">
        <v>252</v>
      </c>
      <c r="R41" s="85">
        <v>91.890987615502624</v>
      </c>
    </row>
    <row r="42" spans="1:18" ht="20.25" customHeight="1">
      <c r="A42" s="773"/>
      <c r="B42" s="768"/>
      <c r="C42" s="768"/>
      <c r="D42" s="768"/>
      <c r="E42" s="768"/>
      <c r="F42" s="768"/>
      <c r="G42" s="12" t="s">
        <v>50</v>
      </c>
      <c r="H42" s="12" t="s">
        <v>50</v>
      </c>
      <c r="I42" s="12" t="s">
        <v>50</v>
      </c>
      <c r="J42" s="12" t="s">
        <v>50</v>
      </c>
      <c r="K42" s="12" t="s">
        <v>50</v>
      </c>
      <c r="L42" s="12" t="s">
        <v>50</v>
      </c>
      <c r="M42" s="12" t="s">
        <v>50</v>
      </c>
      <c r="N42" s="13" t="s">
        <v>258</v>
      </c>
      <c r="O42" s="176"/>
    </row>
    <row r="43" spans="1:18" ht="20.25" customHeight="1">
      <c r="A43" s="14" t="s">
        <v>51</v>
      </c>
      <c r="B43" s="15" t="s">
        <v>52</v>
      </c>
      <c r="C43" s="15" t="s">
        <v>52</v>
      </c>
      <c r="D43" s="15" t="s">
        <v>52</v>
      </c>
      <c r="E43" s="15" t="s">
        <v>52</v>
      </c>
      <c r="F43" s="15" t="s">
        <v>52</v>
      </c>
      <c r="G43" s="16">
        <v>95.058735907925936</v>
      </c>
      <c r="H43" s="16">
        <v>94.816300955711512</v>
      </c>
      <c r="I43" s="28">
        <v>94.722082240032265</v>
      </c>
      <c r="J43" s="28">
        <v>94.843524695445339</v>
      </c>
      <c r="K43" s="28">
        <v>94.325509710406905</v>
      </c>
      <c r="L43" s="28">
        <v>95.193653444538853</v>
      </c>
      <c r="M43" s="28">
        <v>95.055049350219008</v>
      </c>
      <c r="N43" s="71">
        <v>99.665000000000006</v>
      </c>
      <c r="O43" s="177"/>
    </row>
    <row r="44" spans="1:18" ht="20.25" customHeight="1">
      <c r="A44" s="774" t="s">
        <v>156</v>
      </c>
      <c r="B44" s="29" t="s">
        <v>157</v>
      </c>
      <c r="C44" s="26">
        <v>4</v>
      </c>
      <c r="D44" s="22">
        <v>158</v>
      </c>
      <c r="E44" s="22">
        <v>55</v>
      </c>
      <c r="F44" s="26">
        <v>25</v>
      </c>
      <c r="G44" s="16">
        <v>93.158849599880469</v>
      </c>
      <c r="H44" s="16">
        <v>92.871157473558384</v>
      </c>
      <c r="I44" s="28">
        <v>92.400975967173636</v>
      </c>
      <c r="J44" s="28">
        <v>91.954983677517831</v>
      </c>
      <c r="K44" s="28">
        <v>92.662522896874989</v>
      </c>
      <c r="L44" s="28">
        <v>93.889305254197652</v>
      </c>
      <c r="M44" s="28">
        <v>93.341338979943117</v>
      </c>
      <c r="N44" s="71">
        <v>98.625</v>
      </c>
      <c r="O44" s="177"/>
    </row>
    <row r="45" spans="1:18" ht="20.25" customHeight="1">
      <c r="A45" s="774"/>
      <c r="B45" s="29" t="s">
        <v>158</v>
      </c>
      <c r="C45" s="26">
        <v>4</v>
      </c>
      <c r="D45" s="22">
        <v>78</v>
      </c>
      <c r="E45" s="22">
        <v>7</v>
      </c>
      <c r="F45" s="26">
        <v>18</v>
      </c>
      <c r="G45" s="16">
        <v>94.890782051646028</v>
      </c>
      <c r="H45" s="16">
        <v>94.766612685943201</v>
      </c>
      <c r="I45" s="28">
        <v>93.301868277065083</v>
      </c>
      <c r="J45" s="28">
        <v>93.641676839566017</v>
      </c>
      <c r="K45" s="28">
        <v>91.809572121923097</v>
      </c>
      <c r="L45" s="28">
        <v>95.537164837931599</v>
      </c>
      <c r="M45" s="28">
        <v>96.23135709482132</v>
      </c>
      <c r="N45" s="71">
        <v>97.25</v>
      </c>
      <c r="O45" s="177"/>
    </row>
    <row r="46" spans="1:18" ht="20.25" customHeight="1">
      <c r="A46" s="774"/>
      <c r="B46" s="29" t="s">
        <v>159</v>
      </c>
      <c r="C46" s="26">
        <v>4</v>
      </c>
      <c r="D46" s="22">
        <v>144</v>
      </c>
      <c r="E46" s="22">
        <v>44</v>
      </c>
      <c r="F46" s="26">
        <v>24</v>
      </c>
      <c r="G46" s="16">
        <v>93.495419502986749</v>
      </c>
      <c r="H46" s="16">
        <v>93.153073161038691</v>
      </c>
      <c r="I46" s="28">
        <v>91.863422301542869</v>
      </c>
      <c r="J46" s="28">
        <v>91.57991774330246</v>
      </c>
      <c r="K46" s="28">
        <v>91.439027169545454</v>
      </c>
      <c r="L46" s="28">
        <v>94.380592635227273</v>
      </c>
      <c r="M46" s="28">
        <v>94.442724020534513</v>
      </c>
      <c r="N46" s="71">
        <v>100</v>
      </c>
      <c r="O46" s="177"/>
    </row>
    <row r="47" spans="1:18" ht="20.25" customHeight="1">
      <c r="A47" s="774"/>
      <c r="B47" s="29" t="s">
        <v>160</v>
      </c>
      <c r="C47" s="26">
        <v>4</v>
      </c>
      <c r="D47" s="22">
        <v>95</v>
      </c>
      <c r="E47" s="22">
        <v>14</v>
      </c>
      <c r="F47" s="26">
        <v>20</v>
      </c>
      <c r="G47" s="16">
        <v>94.462950874233016</v>
      </c>
      <c r="H47" s="16">
        <v>94.237316709718968</v>
      </c>
      <c r="I47" s="28">
        <v>93.213408012947127</v>
      </c>
      <c r="J47" s="28">
        <v>93.563623312135917</v>
      </c>
      <c r="K47" s="28">
        <v>92.073642984230773</v>
      </c>
      <c r="L47" s="28">
        <v>94.733910054953853</v>
      </c>
      <c r="M47" s="28">
        <v>95.261225406490809</v>
      </c>
      <c r="N47" s="71">
        <v>98.75</v>
      </c>
      <c r="O47" s="177"/>
    </row>
    <row r="48" spans="1:18" ht="20.25" customHeight="1">
      <c r="A48" s="774"/>
      <c r="B48" s="29" t="s">
        <v>161</v>
      </c>
      <c r="C48" s="26">
        <v>4</v>
      </c>
      <c r="D48" s="22">
        <v>133</v>
      </c>
      <c r="E48" s="22">
        <v>37</v>
      </c>
      <c r="F48" s="26">
        <v>22</v>
      </c>
      <c r="G48" s="16">
        <v>93.713423153332101</v>
      </c>
      <c r="H48" s="16">
        <v>93.382550687718009</v>
      </c>
      <c r="I48" s="28">
        <v>93.156154390173114</v>
      </c>
      <c r="J48" s="28">
        <v>93.626788346551535</v>
      </c>
      <c r="K48" s="28">
        <v>91.729953594950416</v>
      </c>
      <c r="L48" s="28">
        <v>94.990229392567556</v>
      </c>
      <c r="M48" s="28">
        <v>93.608946985262889</v>
      </c>
      <c r="N48" s="71">
        <v>100</v>
      </c>
      <c r="O48" s="177"/>
    </row>
    <row r="49" spans="1:15" ht="20.25" customHeight="1">
      <c r="A49" s="774"/>
      <c r="B49" s="29" t="s">
        <v>162</v>
      </c>
      <c r="C49" s="26">
        <v>4</v>
      </c>
      <c r="D49" s="22">
        <v>125</v>
      </c>
      <c r="E49" s="22">
        <v>32</v>
      </c>
      <c r="F49" s="26">
        <v>21</v>
      </c>
      <c r="G49" s="16">
        <v>93.94427885993278</v>
      </c>
      <c r="H49" s="16">
        <v>93.658451431508198</v>
      </c>
      <c r="I49" s="28">
        <v>94.568599615055803</v>
      </c>
      <c r="J49" s="28">
        <v>94.799012618620509</v>
      </c>
      <c r="K49" s="28">
        <v>94.735009879348212</v>
      </c>
      <c r="L49" s="28">
        <v>93.009708937499994</v>
      </c>
      <c r="M49" s="28">
        <v>92.748303247960592</v>
      </c>
      <c r="N49" s="71">
        <v>99.375</v>
      </c>
      <c r="O49" s="177"/>
    </row>
    <row r="50" spans="1:15" ht="20.25" customHeight="1">
      <c r="A50" s="774"/>
      <c r="B50" s="29" t="s">
        <v>163</v>
      </c>
      <c r="C50" s="26">
        <v>4</v>
      </c>
      <c r="D50" s="22">
        <v>137</v>
      </c>
      <c r="E50" s="22">
        <v>40</v>
      </c>
      <c r="F50" s="26">
        <v>23</v>
      </c>
      <c r="G50" s="16">
        <v>93.653682127266336</v>
      </c>
      <c r="H50" s="16">
        <v>93.332823291859313</v>
      </c>
      <c r="I50" s="28">
        <v>93.187204134760862</v>
      </c>
      <c r="J50" s="28">
        <v>92.995681370257287</v>
      </c>
      <c r="K50" s="28">
        <v>93.97503021499999</v>
      </c>
      <c r="L50" s="28">
        <v>91.795166072438931</v>
      </c>
      <c r="M50" s="28">
        <v>93.478442448957779</v>
      </c>
      <c r="N50" s="71">
        <v>99.75</v>
      </c>
      <c r="O50" s="177"/>
    </row>
    <row r="51" spans="1:15" ht="20.25" customHeight="1">
      <c r="A51" s="774"/>
      <c r="B51" s="29" t="s">
        <v>164</v>
      </c>
      <c r="C51" s="26">
        <v>5</v>
      </c>
      <c r="D51" s="22">
        <v>50</v>
      </c>
      <c r="E51" s="22">
        <v>49</v>
      </c>
      <c r="F51" s="26">
        <v>14</v>
      </c>
      <c r="G51" s="16">
        <v>95.413934221460437</v>
      </c>
      <c r="H51" s="16">
        <v>95.172562338379407</v>
      </c>
      <c r="I51" s="28">
        <v>95.499979595702086</v>
      </c>
      <c r="J51" s="28">
        <v>95.598071375821121</v>
      </c>
      <c r="K51" s="28">
        <v>95.933666731976757</v>
      </c>
      <c r="L51" s="28">
        <v>94.104279354166664</v>
      </c>
      <c r="M51" s="28">
        <v>94.845145081056714</v>
      </c>
      <c r="N51" s="71">
        <v>100</v>
      </c>
      <c r="O51" s="177"/>
    </row>
    <row r="52" spans="1:15" ht="20.25" customHeight="1">
      <c r="A52" s="774"/>
      <c r="B52" s="29" t="s">
        <v>165</v>
      </c>
      <c r="C52" s="26">
        <v>5</v>
      </c>
      <c r="D52" s="22">
        <v>16</v>
      </c>
      <c r="E52" s="22">
        <v>16</v>
      </c>
      <c r="F52" s="26">
        <v>6</v>
      </c>
      <c r="G52" s="16">
        <v>96.23265066612295</v>
      </c>
      <c r="H52" s="16">
        <v>96.034369122234693</v>
      </c>
      <c r="I52" s="28">
        <v>97.482960391084035</v>
      </c>
      <c r="J52" s="28">
        <v>97.871376131363704</v>
      </c>
      <c r="K52" s="28">
        <v>97.614680049362846</v>
      </c>
      <c r="L52" s="28">
        <v>96.171135737499995</v>
      </c>
      <c r="M52" s="28">
        <v>94.585777853385366</v>
      </c>
      <c r="N52" s="71">
        <v>100</v>
      </c>
      <c r="O52" s="177"/>
    </row>
    <row r="53" spans="1:15" ht="20.25" customHeight="1">
      <c r="A53" s="774"/>
      <c r="B53" s="29" t="s">
        <v>166</v>
      </c>
      <c r="C53" s="26">
        <v>5</v>
      </c>
      <c r="D53" s="22">
        <v>23</v>
      </c>
      <c r="E53" s="22">
        <v>23</v>
      </c>
      <c r="F53" s="26">
        <v>8</v>
      </c>
      <c r="G53" s="16">
        <v>96.054874152698773</v>
      </c>
      <c r="H53" s="16">
        <v>95.847235950209239</v>
      </c>
      <c r="I53" s="28">
        <v>94.794814948216853</v>
      </c>
      <c r="J53" s="28">
        <v>94.757842837582643</v>
      </c>
      <c r="K53" s="28">
        <v>95.230389225274848</v>
      </c>
      <c r="L53" s="28">
        <v>93.986442442857125</v>
      </c>
      <c r="M53" s="28">
        <v>96.89965695220161</v>
      </c>
      <c r="N53" s="71">
        <v>100</v>
      </c>
      <c r="O53" s="177"/>
    </row>
    <row r="54" spans="1:15" ht="20.25" customHeight="1">
      <c r="A54" s="774"/>
      <c r="B54" s="29" t="s">
        <v>167</v>
      </c>
      <c r="C54" s="26">
        <v>5</v>
      </c>
      <c r="D54" s="22">
        <v>2</v>
      </c>
      <c r="E54" s="22">
        <v>2</v>
      </c>
      <c r="F54" s="26">
        <v>1</v>
      </c>
      <c r="G54" s="16">
        <v>97.019456756892396</v>
      </c>
      <c r="H54" s="16">
        <v>96.862586059886738</v>
      </c>
      <c r="I54" s="28">
        <v>98.168646848893673</v>
      </c>
      <c r="J54" s="28">
        <v>97.988070473360736</v>
      </c>
      <c r="K54" s="28">
        <v>98.112625277631579</v>
      </c>
      <c r="L54" s="28">
        <v>99.107502464285716</v>
      </c>
      <c r="M54" s="28">
        <v>95.556525270879803</v>
      </c>
      <c r="N54" s="71">
        <v>100</v>
      </c>
      <c r="O54" s="177"/>
    </row>
    <row r="55" spans="1:15" ht="20.25" customHeight="1">
      <c r="A55" s="774"/>
      <c r="B55" s="29" t="s">
        <v>168</v>
      </c>
      <c r="C55" s="26">
        <v>5</v>
      </c>
      <c r="D55" s="22">
        <v>13</v>
      </c>
      <c r="E55" s="22">
        <v>13</v>
      </c>
      <c r="F55" s="26">
        <v>3</v>
      </c>
      <c r="G55" s="16">
        <v>96.269824167985675</v>
      </c>
      <c r="H55" s="16">
        <v>96.13928859787967</v>
      </c>
      <c r="I55" s="28">
        <v>96.610547362019147</v>
      </c>
      <c r="J55" s="28">
        <v>96.093001416981181</v>
      </c>
      <c r="K55" s="28">
        <v>97.376921567647088</v>
      </c>
      <c r="L55" s="28">
        <v>96.691324544117634</v>
      </c>
      <c r="M55" s="28">
        <v>95.668029833740192</v>
      </c>
      <c r="N55" s="71">
        <v>98.75</v>
      </c>
      <c r="O55" s="177"/>
    </row>
    <row r="56" spans="1:15" ht="20.25" customHeight="1">
      <c r="A56" s="774"/>
      <c r="B56" s="29" t="s">
        <v>169</v>
      </c>
      <c r="C56" s="26">
        <v>5</v>
      </c>
      <c r="D56" s="22">
        <v>24</v>
      </c>
      <c r="E56" s="22">
        <v>24</v>
      </c>
      <c r="F56" s="26">
        <v>9</v>
      </c>
      <c r="G56" s="16">
        <v>96.020272384063958</v>
      </c>
      <c r="H56" s="16">
        <v>95.843707772698906</v>
      </c>
      <c r="I56" s="28">
        <v>96.284573056357431</v>
      </c>
      <c r="J56" s="28">
        <v>96.87815577261577</v>
      </c>
      <c r="K56" s="28">
        <v>95.432324088793109</v>
      </c>
      <c r="L56" s="28">
        <v>96.291367834246827</v>
      </c>
      <c r="M56" s="28">
        <v>95.402842489040395</v>
      </c>
      <c r="N56" s="71">
        <v>99.375</v>
      </c>
      <c r="O56" s="177"/>
    </row>
    <row r="57" spans="1:15" ht="20.25" customHeight="1">
      <c r="A57" s="774"/>
      <c r="B57" s="29" t="s">
        <v>170</v>
      </c>
      <c r="C57" s="26">
        <v>5</v>
      </c>
      <c r="D57" s="22">
        <v>25</v>
      </c>
      <c r="E57" s="22">
        <v>25</v>
      </c>
      <c r="F57" s="26">
        <v>10</v>
      </c>
      <c r="G57" s="16">
        <v>96.004183297776549</v>
      </c>
      <c r="H57" s="16">
        <v>95.79387715555427</v>
      </c>
      <c r="I57" s="28">
        <v>95.613703214256077</v>
      </c>
      <c r="J57" s="28">
        <v>96.573239907786956</v>
      </c>
      <c r="K57" s="28">
        <v>93.364637256250006</v>
      </c>
      <c r="L57" s="28">
        <v>97.185248215000001</v>
      </c>
      <c r="M57" s="28">
        <v>95.974051096852463</v>
      </c>
      <c r="N57" s="71">
        <v>100</v>
      </c>
      <c r="O57" s="177"/>
    </row>
    <row r="58" spans="1:15" ht="20.25" customHeight="1">
      <c r="A58" s="774"/>
      <c r="B58" s="29" t="s">
        <v>171</v>
      </c>
      <c r="C58" s="26">
        <v>5</v>
      </c>
      <c r="D58" s="22">
        <v>59</v>
      </c>
      <c r="E58" s="22">
        <v>56</v>
      </c>
      <c r="F58" s="26">
        <v>16</v>
      </c>
      <c r="G58" s="16">
        <v>95.247357301350931</v>
      </c>
      <c r="H58" s="16">
        <v>94.997218211948351</v>
      </c>
      <c r="I58" s="28">
        <v>95.61491680190467</v>
      </c>
      <c r="J58" s="28">
        <v>95.523094564705943</v>
      </c>
      <c r="K58" s="28">
        <v>95.003073907857143</v>
      </c>
      <c r="L58" s="28">
        <v>96.988466032894735</v>
      </c>
      <c r="M58" s="28">
        <v>94.379519621992031</v>
      </c>
      <c r="N58" s="71">
        <v>100</v>
      </c>
      <c r="O58" s="177"/>
    </row>
    <row r="59" spans="1:15" ht="20.25" customHeight="1">
      <c r="A59" s="774"/>
      <c r="B59" s="29" t="s">
        <v>172</v>
      </c>
      <c r="C59" s="26">
        <v>5</v>
      </c>
      <c r="D59" s="22">
        <v>15</v>
      </c>
      <c r="E59" s="22">
        <v>15</v>
      </c>
      <c r="F59" s="26">
        <v>5</v>
      </c>
      <c r="G59" s="16">
        <v>96.259385290107474</v>
      </c>
      <c r="H59" s="16">
        <v>96.06251083169208</v>
      </c>
      <c r="I59" s="28">
        <v>96.086574316984581</v>
      </c>
      <c r="J59" s="28">
        <v>96.299151008712201</v>
      </c>
      <c r="K59" s="28">
        <v>95.825894453409092</v>
      </c>
      <c r="L59" s="28">
        <v>95.964662523809508</v>
      </c>
      <c r="M59" s="28">
        <v>96.038447346399579</v>
      </c>
      <c r="N59" s="71">
        <v>100</v>
      </c>
      <c r="O59" s="177"/>
    </row>
    <row r="60" spans="1:15" ht="20.25" customHeight="1">
      <c r="A60" s="774"/>
      <c r="B60" s="29" t="s">
        <v>173</v>
      </c>
      <c r="C60" s="26">
        <v>5</v>
      </c>
      <c r="D60" s="22">
        <v>14</v>
      </c>
      <c r="E60" s="22">
        <v>14</v>
      </c>
      <c r="F60" s="26">
        <v>4</v>
      </c>
      <c r="G60" s="16">
        <v>96.26271062406289</v>
      </c>
      <c r="H60" s="16">
        <v>96.066011183224106</v>
      </c>
      <c r="I60" s="28">
        <v>95.626957132452702</v>
      </c>
      <c r="J60" s="28">
        <v>96.308662109062581</v>
      </c>
      <c r="K60" s="28">
        <v>93.824489429878057</v>
      </c>
      <c r="L60" s="28">
        <v>97.106474748750003</v>
      </c>
      <c r="M60" s="28">
        <v>96.505065233995509</v>
      </c>
      <c r="N60" s="71">
        <v>100</v>
      </c>
      <c r="O60" s="177"/>
    </row>
    <row r="61" spans="1:15" ht="20.25" customHeight="1">
      <c r="A61" s="774"/>
      <c r="B61" s="29" t="s">
        <v>174</v>
      </c>
      <c r="C61" s="26">
        <v>5</v>
      </c>
      <c r="D61" s="22">
        <v>34</v>
      </c>
      <c r="E61" s="22">
        <v>34</v>
      </c>
      <c r="F61" s="26">
        <v>13</v>
      </c>
      <c r="G61" s="16">
        <v>95.765150325540517</v>
      </c>
      <c r="H61" s="16">
        <v>95.542263500568964</v>
      </c>
      <c r="I61" s="28">
        <v>95.369292075726719</v>
      </c>
      <c r="J61" s="28">
        <v>97.269207651815904</v>
      </c>
      <c r="K61" s="28">
        <v>91.636369041447367</v>
      </c>
      <c r="L61" s="28">
        <v>96.735409189473671</v>
      </c>
      <c r="M61" s="28">
        <v>95.715234925411195</v>
      </c>
      <c r="N61" s="71">
        <v>100</v>
      </c>
      <c r="O61" s="177"/>
    </row>
    <row r="62" spans="1:15" ht="20.25" customHeight="1">
      <c r="A62" s="774"/>
      <c r="B62" s="29" t="s">
        <v>175</v>
      </c>
      <c r="C62" s="26">
        <v>5</v>
      </c>
      <c r="D62" s="22">
        <v>62</v>
      </c>
      <c r="E62" s="22">
        <v>58</v>
      </c>
      <c r="F62" s="26">
        <v>17</v>
      </c>
      <c r="G62" s="16">
        <v>95.217403689482978</v>
      </c>
      <c r="H62" s="16">
        <v>94.965688094192615</v>
      </c>
      <c r="I62" s="28">
        <v>95.030106438021534</v>
      </c>
      <c r="J62" s="28">
        <v>94.358178690909156</v>
      </c>
      <c r="K62" s="28">
        <v>95.202867665335376</v>
      </c>
      <c r="L62" s="28">
        <v>96.893307487499996</v>
      </c>
      <c r="M62" s="28">
        <v>94.901269750363682</v>
      </c>
      <c r="N62" s="71">
        <v>100</v>
      </c>
      <c r="O62" s="177"/>
    </row>
    <row r="63" spans="1:15" ht="20.25" customHeight="1">
      <c r="A63" s="774"/>
      <c r="B63" s="29" t="s">
        <v>176</v>
      </c>
      <c r="C63" s="26">
        <v>5</v>
      </c>
      <c r="D63" s="22">
        <v>92</v>
      </c>
      <c r="E63" s="22">
        <v>79</v>
      </c>
      <c r="F63" s="26">
        <v>19</v>
      </c>
      <c r="G63" s="16">
        <v>94.559635692054343</v>
      </c>
      <c r="H63" s="16">
        <v>94.286458623215111</v>
      </c>
      <c r="I63" s="28">
        <v>93.821083142505998</v>
      </c>
      <c r="J63" s="28">
        <v>93.16582776983094</v>
      </c>
      <c r="K63" s="28">
        <v>95.672612685706625</v>
      </c>
      <c r="L63" s="28">
        <v>91.861670826249991</v>
      </c>
      <c r="M63" s="28">
        <v>94.751834103924224</v>
      </c>
      <c r="N63" s="71">
        <v>99.75</v>
      </c>
      <c r="O63" s="177"/>
    </row>
    <row r="64" spans="1:15" ht="20.25" customHeight="1">
      <c r="A64" s="774"/>
      <c r="B64" s="29" t="s">
        <v>177</v>
      </c>
      <c r="C64" s="26">
        <v>5</v>
      </c>
      <c r="D64" s="22">
        <v>6</v>
      </c>
      <c r="E64" s="22">
        <v>6</v>
      </c>
      <c r="F64" s="26">
        <v>2</v>
      </c>
      <c r="G64" s="16">
        <v>96.595157839885161</v>
      </c>
      <c r="H64" s="16">
        <v>96.415955620931754</v>
      </c>
      <c r="I64" s="28">
        <v>96.317706608009743</v>
      </c>
      <c r="J64" s="28">
        <v>97.262097873966496</v>
      </c>
      <c r="K64" s="28">
        <v>95.796172344460246</v>
      </c>
      <c r="L64" s="28">
        <v>93.978496373913018</v>
      </c>
      <c r="M64" s="28">
        <v>96.51420463385378</v>
      </c>
      <c r="N64" s="71">
        <v>100</v>
      </c>
      <c r="O64" s="177"/>
    </row>
    <row r="65" spans="1:15" ht="20.25" customHeight="1">
      <c r="A65" s="774"/>
      <c r="B65" s="29" t="s">
        <v>178</v>
      </c>
      <c r="C65" s="26">
        <v>5</v>
      </c>
      <c r="D65" s="22">
        <v>33</v>
      </c>
      <c r="E65" s="22">
        <v>33</v>
      </c>
      <c r="F65" s="26">
        <v>12</v>
      </c>
      <c r="G65" s="16">
        <v>95.814093382012203</v>
      </c>
      <c r="H65" s="16">
        <v>95.593782507381263</v>
      </c>
      <c r="I65" s="28">
        <v>96.26084495114992</v>
      </c>
      <c r="J65" s="28">
        <v>97.654905157871383</v>
      </c>
      <c r="K65" s="28">
        <v>94.633786148250394</v>
      </c>
      <c r="L65" s="28">
        <v>95.231820057608672</v>
      </c>
      <c r="M65" s="28">
        <v>94.926720063612606</v>
      </c>
      <c r="N65" s="71">
        <v>100</v>
      </c>
      <c r="O65" s="177"/>
    </row>
    <row r="66" spans="1:15" ht="20.25" customHeight="1">
      <c r="A66" s="774"/>
      <c r="B66" s="29" t="s">
        <v>179</v>
      </c>
      <c r="C66" s="26">
        <v>5</v>
      </c>
      <c r="D66" s="22">
        <v>20</v>
      </c>
      <c r="E66" s="22">
        <v>20</v>
      </c>
      <c r="F66" s="26">
        <v>7</v>
      </c>
      <c r="G66" s="16">
        <v>96.139784101038913</v>
      </c>
      <c r="H66" s="16">
        <v>95.936614843198868</v>
      </c>
      <c r="I66" s="28">
        <v>95.059087772979495</v>
      </c>
      <c r="J66" s="28">
        <v>95.018598315379322</v>
      </c>
      <c r="K66" s="28">
        <v>94.368620290625003</v>
      </c>
      <c r="L66" s="28">
        <v>96.565540056250001</v>
      </c>
      <c r="M66" s="28">
        <v>96.814141913418226</v>
      </c>
      <c r="N66" s="71">
        <v>100</v>
      </c>
      <c r="O66" s="177"/>
    </row>
    <row r="67" spans="1:15" ht="20.25" customHeight="1">
      <c r="A67" s="774"/>
      <c r="B67" s="29" t="s">
        <v>180</v>
      </c>
      <c r="C67" s="26">
        <v>5</v>
      </c>
      <c r="D67" s="22">
        <v>53</v>
      </c>
      <c r="E67" s="22">
        <v>52</v>
      </c>
      <c r="F67" s="26">
        <v>15</v>
      </c>
      <c r="G67" s="16">
        <v>95.386114765467909</v>
      </c>
      <c r="H67" s="16">
        <v>95.143278700492544</v>
      </c>
      <c r="I67" s="28">
        <v>95.583054328725837</v>
      </c>
      <c r="J67" s="28">
        <v>95.569025238000066</v>
      </c>
      <c r="K67" s="28">
        <v>95.369647139696497</v>
      </c>
      <c r="L67" s="28">
        <v>96.080297096428566</v>
      </c>
      <c r="M67" s="28">
        <v>94.703503072259238</v>
      </c>
      <c r="N67" s="71">
        <v>100</v>
      </c>
      <c r="O67" s="177"/>
    </row>
    <row r="68" spans="1:15" ht="20.25" customHeight="1" thickBot="1">
      <c r="A68" s="775"/>
      <c r="B68" s="35" t="s">
        <v>181</v>
      </c>
      <c r="C68" s="27">
        <v>5</v>
      </c>
      <c r="D68" s="24">
        <v>27</v>
      </c>
      <c r="E68" s="24">
        <v>27</v>
      </c>
      <c r="F68" s="27">
        <v>11</v>
      </c>
      <c r="G68" s="36">
        <v>95.96227388865168</v>
      </c>
      <c r="H68" s="36">
        <v>95.749761988054402</v>
      </c>
      <c r="I68" s="37">
        <v>96.326595224456526</v>
      </c>
      <c r="J68" s="37">
        <v>95.101935759782663</v>
      </c>
      <c r="K68" s="37">
        <v>98.726860008620704</v>
      </c>
      <c r="L68" s="37">
        <v>95.545810320588217</v>
      </c>
      <c r="M68" s="37">
        <v>95.172928751652279</v>
      </c>
      <c r="N68" s="73">
        <v>100</v>
      </c>
      <c r="O68" s="177"/>
    </row>
    <row r="69" spans="1:15" ht="20.25" customHeight="1" thickBot="1"/>
    <row r="70" spans="1:15" ht="20.25" customHeight="1">
      <c r="A70" s="772" t="s">
        <v>38</v>
      </c>
      <c r="B70" s="767" t="s">
        <v>39</v>
      </c>
      <c r="C70" s="767" t="s">
        <v>40</v>
      </c>
      <c r="D70" s="767" t="s">
        <v>41</v>
      </c>
      <c r="E70" s="767" t="s">
        <v>42</v>
      </c>
      <c r="F70" s="767" t="s">
        <v>43</v>
      </c>
      <c r="G70" s="769" t="s">
        <v>255</v>
      </c>
      <c r="H70" s="769" t="s">
        <v>256</v>
      </c>
      <c r="I70" s="767" t="s">
        <v>44</v>
      </c>
      <c r="J70" s="767"/>
      <c r="K70" s="767"/>
      <c r="L70" s="767"/>
      <c r="M70" s="767" t="s">
        <v>45</v>
      </c>
      <c r="N70" s="770" t="s">
        <v>259</v>
      </c>
      <c r="O70" s="175"/>
    </row>
    <row r="71" spans="1:15" ht="20.25" customHeight="1">
      <c r="A71" s="773"/>
      <c r="B71" s="768"/>
      <c r="C71" s="768"/>
      <c r="D71" s="768"/>
      <c r="E71" s="768"/>
      <c r="F71" s="768"/>
      <c r="G71" s="768"/>
      <c r="H71" s="768"/>
      <c r="I71" s="12" t="s">
        <v>46</v>
      </c>
      <c r="J71" s="12" t="s">
        <v>47</v>
      </c>
      <c r="K71" s="12" t="s">
        <v>48</v>
      </c>
      <c r="L71" s="12" t="s">
        <v>49</v>
      </c>
      <c r="M71" s="768"/>
      <c r="N71" s="771"/>
      <c r="O71" s="176"/>
    </row>
    <row r="72" spans="1:15" ht="20.25" customHeight="1">
      <c r="A72" s="773"/>
      <c r="B72" s="768"/>
      <c r="C72" s="768"/>
      <c r="D72" s="768"/>
      <c r="E72" s="768"/>
      <c r="F72" s="768"/>
      <c r="G72" s="12" t="s">
        <v>50</v>
      </c>
      <c r="H72" s="12" t="s">
        <v>50</v>
      </c>
      <c r="I72" s="12" t="s">
        <v>50</v>
      </c>
      <c r="J72" s="12" t="s">
        <v>50</v>
      </c>
      <c r="K72" s="12" t="s">
        <v>50</v>
      </c>
      <c r="L72" s="12" t="s">
        <v>50</v>
      </c>
      <c r="M72" s="12" t="s">
        <v>50</v>
      </c>
      <c r="N72" s="13" t="s">
        <v>258</v>
      </c>
      <c r="O72" s="176"/>
    </row>
    <row r="73" spans="1:15" ht="20.25" customHeight="1">
      <c r="A73" s="14" t="s">
        <v>51</v>
      </c>
      <c r="B73" s="15" t="s">
        <v>52</v>
      </c>
      <c r="C73" s="15" t="s">
        <v>52</v>
      </c>
      <c r="D73" s="15" t="s">
        <v>52</v>
      </c>
      <c r="E73" s="15" t="s">
        <v>52</v>
      </c>
      <c r="F73" s="15" t="s">
        <v>52</v>
      </c>
      <c r="G73" s="16">
        <v>94.404706225614291</v>
      </c>
      <c r="H73" s="16">
        <v>94.184885457856737</v>
      </c>
      <c r="I73" s="28">
        <v>94.835459465919968</v>
      </c>
      <c r="J73" s="28">
        <v>95.086100158330083</v>
      </c>
      <c r="K73" s="28">
        <v>94.328713168399901</v>
      </c>
      <c r="L73" s="28">
        <v>95.079790439755399</v>
      </c>
      <c r="M73" s="28">
        <v>93.711676053925473</v>
      </c>
      <c r="N73" s="71">
        <v>98.581300813008127</v>
      </c>
      <c r="O73" s="177"/>
    </row>
    <row r="74" spans="1:15" ht="20.25" customHeight="1">
      <c r="A74" s="765" t="s">
        <v>182</v>
      </c>
      <c r="B74" s="29" t="s">
        <v>183</v>
      </c>
      <c r="C74" s="26">
        <v>4</v>
      </c>
      <c r="D74" s="22">
        <v>90</v>
      </c>
      <c r="E74" s="22">
        <v>13</v>
      </c>
      <c r="F74" s="26">
        <v>15</v>
      </c>
      <c r="G74" s="16">
        <v>94.582550009797203</v>
      </c>
      <c r="H74" s="16">
        <v>94.363210536628642</v>
      </c>
      <c r="I74" s="28">
        <v>95.582710698467963</v>
      </c>
      <c r="J74" s="28">
        <v>95.726765572631578</v>
      </c>
      <c r="K74" s="28">
        <v>94.357455072727262</v>
      </c>
      <c r="L74" s="28">
        <v>98.023794624388074</v>
      </c>
      <c r="M74" s="28">
        <v>93.143710374789322</v>
      </c>
      <c r="N74" s="71">
        <v>98.75</v>
      </c>
      <c r="O74" s="177"/>
    </row>
    <row r="75" spans="1:15" ht="20.25" customHeight="1">
      <c r="A75" s="765"/>
      <c r="B75" s="29" t="s">
        <v>184</v>
      </c>
      <c r="C75" s="26">
        <v>4</v>
      </c>
      <c r="D75" s="22">
        <v>148</v>
      </c>
      <c r="E75" s="22">
        <v>47</v>
      </c>
      <c r="F75" s="26">
        <v>27</v>
      </c>
      <c r="G75" s="16">
        <v>93.327389040521425</v>
      </c>
      <c r="H75" s="16">
        <v>93.180146358443608</v>
      </c>
      <c r="I75" s="28">
        <v>93.706986496216544</v>
      </c>
      <c r="J75" s="28">
        <v>94.633995508820604</v>
      </c>
      <c r="K75" s="28">
        <v>92.432709242727285</v>
      </c>
      <c r="L75" s="28">
        <v>92.973959713024428</v>
      </c>
      <c r="M75" s="28">
        <v>92.653306220670686</v>
      </c>
      <c r="N75" s="71">
        <v>96.125</v>
      </c>
      <c r="O75" s="177"/>
    </row>
    <row r="76" spans="1:15" ht="20.25" customHeight="1">
      <c r="A76" s="765"/>
      <c r="B76" s="29" t="s">
        <v>185</v>
      </c>
      <c r="C76" s="26">
        <v>4</v>
      </c>
      <c r="D76" s="22">
        <v>101</v>
      </c>
      <c r="E76" s="22">
        <v>18</v>
      </c>
      <c r="F76" s="26">
        <v>18</v>
      </c>
      <c r="G76" s="16">
        <v>94.342578790447874</v>
      </c>
      <c r="H76" s="16">
        <v>94.110609253103036</v>
      </c>
      <c r="I76" s="28">
        <v>93.293138929307133</v>
      </c>
      <c r="J76" s="28">
        <v>94.219167309292416</v>
      </c>
      <c r="K76" s="28">
        <v>92.528481234045188</v>
      </c>
      <c r="L76" s="28">
        <v>91.004139512499989</v>
      </c>
      <c r="M76" s="28">
        <v>94.928079576898924</v>
      </c>
      <c r="N76" s="71">
        <v>98.75</v>
      </c>
      <c r="O76" s="177"/>
    </row>
    <row r="77" spans="1:15" ht="20.25" customHeight="1">
      <c r="A77" s="765"/>
      <c r="B77" s="29" t="s">
        <v>186</v>
      </c>
      <c r="C77" s="26">
        <v>4</v>
      </c>
      <c r="D77" s="22">
        <v>143</v>
      </c>
      <c r="E77" s="22">
        <v>43</v>
      </c>
      <c r="F77" s="26">
        <v>26</v>
      </c>
      <c r="G77" s="16">
        <v>93.532525056179168</v>
      </c>
      <c r="H77" s="16">
        <v>93.192131638083339</v>
      </c>
      <c r="I77" s="28">
        <v>94.976564542075735</v>
      </c>
      <c r="J77" s="28">
        <v>94.272925537571084</v>
      </c>
      <c r="K77" s="28">
        <v>95.782565500423729</v>
      </c>
      <c r="L77" s="28">
        <v>95.956292996762741</v>
      </c>
      <c r="M77" s="28">
        <v>91.407698734090928</v>
      </c>
      <c r="N77" s="71">
        <v>100</v>
      </c>
      <c r="O77" s="177"/>
    </row>
    <row r="78" spans="1:15" ht="20.25" customHeight="1">
      <c r="A78" s="765"/>
      <c r="B78" s="29" t="s">
        <v>187</v>
      </c>
      <c r="C78" s="26">
        <v>4</v>
      </c>
      <c r="D78" s="22">
        <v>162</v>
      </c>
      <c r="E78" s="22">
        <v>58</v>
      </c>
      <c r="F78" s="26">
        <v>28</v>
      </c>
      <c r="G78" s="16">
        <v>93.083841373846624</v>
      </c>
      <c r="H78" s="16">
        <v>92.719833025101707</v>
      </c>
      <c r="I78" s="28">
        <v>93.1568508658615</v>
      </c>
      <c r="J78" s="28">
        <v>92.261953906647932</v>
      </c>
      <c r="K78" s="28">
        <v>93.74597181547621</v>
      </c>
      <c r="L78" s="28">
        <v>95.594008320684168</v>
      </c>
      <c r="M78" s="28">
        <v>92.282815184341928</v>
      </c>
      <c r="N78" s="71">
        <v>100</v>
      </c>
      <c r="O78" s="177"/>
    </row>
    <row r="79" spans="1:15" ht="20.25" customHeight="1">
      <c r="A79" s="765"/>
      <c r="B79" s="29" t="s">
        <v>188</v>
      </c>
      <c r="C79" s="26">
        <v>4</v>
      </c>
      <c r="D79" s="22">
        <v>166</v>
      </c>
      <c r="E79" s="22">
        <v>61</v>
      </c>
      <c r="F79" s="26">
        <v>29</v>
      </c>
      <c r="G79" s="16">
        <v>92.966443983835489</v>
      </c>
      <c r="H79" s="16">
        <v>92.787046298774214</v>
      </c>
      <c r="I79" s="28">
        <v>94.389153748476517</v>
      </c>
      <c r="J79" s="28">
        <v>94.687855674279987</v>
      </c>
      <c r="K79" s="28">
        <v>93.693463424246289</v>
      </c>
      <c r="L79" s="28">
        <v>94.837939712434675</v>
      </c>
      <c r="M79" s="28">
        <v>91.184938849071898</v>
      </c>
      <c r="N79" s="71">
        <v>96.375</v>
      </c>
      <c r="O79" s="177"/>
    </row>
    <row r="80" spans="1:15" ht="20.25" customHeight="1">
      <c r="A80" s="765"/>
      <c r="B80" s="29" t="s">
        <v>189</v>
      </c>
      <c r="C80" s="26">
        <v>4</v>
      </c>
      <c r="D80" s="22">
        <v>121</v>
      </c>
      <c r="E80" s="22">
        <v>28</v>
      </c>
      <c r="F80" s="26">
        <v>21</v>
      </c>
      <c r="G80" s="16">
        <v>93.980842307474077</v>
      </c>
      <c r="H80" s="16">
        <v>93.782465586814823</v>
      </c>
      <c r="I80" s="28">
        <v>94.636808684346391</v>
      </c>
      <c r="J80" s="28">
        <v>94.709865016239746</v>
      </c>
      <c r="K80" s="28">
        <v>95.062003098232324</v>
      </c>
      <c r="L80" s="28">
        <v>93.213769594736831</v>
      </c>
      <c r="M80" s="28">
        <v>92.92812248928324</v>
      </c>
      <c r="N80" s="71">
        <v>97.75</v>
      </c>
      <c r="O80" s="177"/>
    </row>
    <row r="81" spans="1:15" ht="20.25" customHeight="1">
      <c r="A81" s="765"/>
      <c r="B81" s="29" t="s">
        <v>190</v>
      </c>
      <c r="C81" s="26">
        <v>4</v>
      </c>
      <c r="D81" s="22">
        <v>122</v>
      </c>
      <c r="E81" s="22">
        <v>29</v>
      </c>
      <c r="F81" s="26">
        <v>22</v>
      </c>
      <c r="G81" s="16">
        <v>93.969651726849492</v>
      </c>
      <c r="H81" s="16">
        <v>93.968054449315261</v>
      </c>
      <c r="I81" s="28">
        <v>93.143485676912135</v>
      </c>
      <c r="J81" s="28">
        <v>93.68639316497692</v>
      </c>
      <c r="K81" s="28">
        <v>93.003553349382727</v>
      </c>
      <c r="L81" s="28">
        <v>91.306538347609546</v>
      </c>
      <c r="M81" s="28">
        <v>94.792623221718387</v>
      </c>
      <c r="N81" s="71">
        <v>94</v>
      </c>
      <c r="O81" s="177"/>
    </row>
    <row r="82" spans="1:15" ht="20.25" customHeight="1">
      <c r="A82" s="765"/>
      <c r="B82" s="29" t="s">
        <v>191</v>
      </c>
      <c r="C82" s="26">
        <v>4</v>
      </c>
      <c r="D82" s="22">
        <v>99</v>
      </c>
      <c r="E82" s="22">
        <v>17</v>
      </c>
      <c r="F82" s="26">
        <v>17</v>
      </c>
      <c r="G82" s="16">
        <v>94.377962913430636</v>
      </c>
      <c r="H82" s="16">
        <v>94.082066224663834</v>
      </c>
      <c r="I82" s="28">
        <v>94.401820624452682</v>
      </c>
      <c r="J82" s="28">
        <v>95.696812759353335</v>
      </c>
      <c r="K82" s="28">
        <v>91.445892612795149</v>
      </c>
      <c r="L82" s="28">
        <v>97.037189286538464</v>
      </c>
      <c r="M82" s="28">
        <v>93.762311824874985</v>
      </c>
      <c r="N82" s="71">
        <v>100</v>
      </c>
      <c r="O82" s="177"/>
    </row>
    <row r="83" spans="1:15" ht="20.25" customHeight="1">
      <c r="A83" s="765"/>
      <c r="B83" s="29" t="s">
        <v>192</v>
      </c>
      <c r="C83" s="26">
        <v>4</v>
      </c>
      <c r="D83" s="22">
        <v>168</v>
      </c>
      <c r="E83" s="22">
        <v>63</v>
      </c>
      <c r="F83" s="26">
        <v>30</v>
      </c>
      <c r="G83" s="16">
        <v>92.905521737199905</v>
      </c>
      <c r="H83" s="16">
        <v>92.578180775999911</v>
      </c>
      <c r="I83" s="28">
        <v>92.705931554366558</v>
      </c>
      <c r="J83" s="28">
        <v>93.507712010950328</v>
      </c>
      <c r="K83" s="28">
        <v>91.965881791455672</v>
      </c>
      <c r="L83" s="28">
        <v>91.376569348275851</v>
      </c>
      <c r="M83" s="28">
        <v>92.450429997633265</v>
      </c>
      <c r="N83" s="71">
        <v>99.125</v>
      </c>
      <c r="O83" s="177"/>
    </row>
    <row r="84" spans="1:15" ht="20.25" customHeight="1">
      <c r="A84" s="765"/>
      <c r="B84" s="29" t="s">
        <v>193</v>
      </c>
      <c r="C84" s="26">
        <v>4</v>
      </c>
      <c r="D84" s="22">
        <v>136</v>
      </c>
      <c r="E84" s="22">
        <v>39</v>
      </c>
      <c r="F84" s="26">
        <v>25</v>
      </c>
      <c r="G84" s="16">
        <v>93.655075174283311</v>
      </c>
      <c r="H84" s="16">
        <v>93.321131762403496</v>
      </c>
      <c r="I84" s="28">
        <v>92.850242789757758</v>
      </c>
      <c r="J84" s="28">
        <v>92.763732110411411</v>
      </c>
      <c r="K84" s="28">
        <v>93.218949655769194</v>
      </c>
      <c r="L84" s="28">
        <v>92.27340125612578</v>
      </c>
      <c r="M84" s="28">
        <v>93.792020735049221</v>
      </c>
      <c r="N84" s="71">
        <v>100</v>
      </c>
      <c r="O84" s="177"/>
    </row>
    <row r="85" spans="1:15" ht="20.25" customHeight="1">
      <c r="A85" s="765"/>
      <c r="B85" s="29" t="s">
        <v>194</v>
      </c>
      <c r="C85" s="26">
        <v>5</v>
      </c>
      <c r="D85" s="22">
        <v>55</v>
      </c>
      <c r="E85" s="22">
        <v>54</v>
      </c>
      <c r="F85" s="26">
        <v>10</v>
      </c>
      <c r="G85" s="16">
        <v>95.31402514897799</v>
      </c>
      <c r="H85" s="16">
        <v>95.133184367345251</v>
      </c>
      <c r="I85" s="28">
        <v>94.548564083500864</v>
      </c>
      <c r="J85" s="28">
        <v>94.24783197447266</v>
      </c>
      <c r="K85" s="28">
        <v>93.557507056111106</v>
      </c>
      <c r="L85" s="28">
        <v>97.646056923809496</v>
      </c>
      <c r="M85" s="28">
        <v>95.717804651189638</v>
      </c>
      <c r="N85" s="71">
        <v>98.75</v>
      </c>
      <c r="O85" s="177"/>
    </row>
    <row r="86" spans="1:15" ht="20.25" customHeight="1">
      <c r="A86" s="765"/>
      <c r="B86" s="29" t="s">
        <v>195</v>
      </c>
      <c r="C86" s="26">
        <v>5</v>
      </c>
      <c r="D86" s="22">
        <v>3</v>
      </c>
      <c r="E86" s="22">
        <v>3</v>
      </c>
      <c r="F86" s="26">
        <v>1</v>
      </c>
      <c r="G86" s="16">
        <v>96.808426950478363</v>
      </c>
      <c r="H86" s="16">
        <v>96.640449421556184</v>
      </c>
      <c r="I86" s="28">
        <v>97.544161253363342</v>
      </c>
      <c r="J86" s="28">
        <v>98.370348546943887</v>
      </c>
      <c r="K86" s="28">
        <v>95.696454867800043</v>
      </c>
      <c r="L86" s="28">
        <v>99.066087560576918</v>
      </c>
      <c r="M86" s="28">
        <v>95.736737589749026</v>
      </c>
      <c r="N86" s="71">
        <v>100</v>
      </c>
      <c r="O86" s="177"/>
    </row>
    <row r="87" spans="1:15" ht="20.25" customHeight="1">
      <c r="A87" s="765"/>
      <c r="B87" s="29" t="s">
        <v>196</v>
      </c>
      <c r="C87" s="26">
        <v>5</v>
      </c>
      <c r="D87" s="22" t="s">
        <v>52</v>
      </c>
      <c r="E87" s="22" t="s">
        <v>52</v>
      </c>
      <c r="F87" s="26" t="s">
        <v>52</v>
      </c>
      <c r="G87" s="72">
        <v>93.561127088265096</v>
      </c>
      <c r="H87" s="72">
        <v>93.309958338524666</v>
      </c>
      <c r="I87" s="28">
        <v>93.309958338524666</v>
      </c>
      <c r="J87" s="28">
        <v>96.924477656060617</v>
      </c>
      <c r="K87" s="28">
        <v>91.248057307352951</v>
      </c>
      <c r="L87" s="28">
        <v>85.652974706818171</v>
      </c>
      <c r="M87" s="28" t="s">
        <v>52</v>
      </c>
      <c r="N87" s="71">
        <v>98.333333333333329</v>
      </c>
      <c r="O87" s="177"/>
    </row>
    <row r="88" spans="1:15" ht="20.25" customHeight="1">
      <c r="A88" s="765"/>
      <c r="B88" s="29" t="s">
        <v>197</v>
      </c>
      <c r="C88" s="26">
        <v>5</v>
      </c>
      <c r="D88" s="22">
        <v>93</v>
      </c>
      <c r="E88" s="22">
        <v>80</v>
      </c>
      <c r="F88" s="26">
        <v>16</v>
      </c>
      <c r="G88" s="72">
        <v>94.556327612650435</v>
      </c>
      <c r="H88" s="72">
        <v>94.302713276474151</v>
      </c>
      <c r="I88" s="28">
        <v>93.891651095731746</v>
      </c>
      <c r="J88" s="28">
        <v>93.648217246341517</v>
      </c>
      <c r="K88" s="28">
        <v>92.716658893000002</v>
      </c>
      <c r="L88" s="28">
        <v>96.351375651562492</v>
      </c>
      <c r="M88" s="28">
        <v>94.71377545721657</v>
      </c>
      <c r="N88" s="71">
        <v>99.375</v>
      </c>
      <c r="O88" s="177"/>
    </row>
    <row r="89" spans="1:15" ht="20.25" customHeight="1">
      <c r="A89" s="765"/>
      <c r="B89" s="29" t="s">
        <v>198</v>
      </c>
      <c r="C89" s="26">
        <v>5</v>
      </c>
      <c r="D89" s="22">
        <v>130</v>
      </c>
      <c r="E89" s="22">
        <v>95</v>
      </c>
      <c r="F89" s="26">
        <v>24</v>
      </c>
      <c r="G89" s="16">
        <v>93.762501182145044</v>
      </c>
      <c r="H89" s="16">
        <v>93.565790718047424</v>
      </c>
      <c r="I89" s="28">
        <v>95.836086743883669</v>
      </c>
      <c r="J89" s="28">
        <v>96.749022322440737</v>
      </c>
      <c r="K89" s="28">
        <v>93.994967796476999</v>
      </c>
      <c r="L89" s="28">
        <v>96.909203615217379</v>
      </c>
      <c r="M89" s="28">
        <v>91.295494692211165</v>
      </c>
      <c r="N89" s="71">
        <v>97.5</v>
      </c>
      <c r="O89" s="177"/>
    </row>
    <row r="90" spans="1:15" ht="20.25" customHeight="1">
      <c r="A90" s="765"/>
      <c r="B90" s="29" t="s">
        <v>199</v>
      </c>
      <c r="C90" s="26">
        <v>5</v>
      </c>
      <c r="D90" s="22">
        <v>128</v>
      </c>
      <c r="E90" s="22">
        <v>94</v>
      </c>
      <c r="F90" s="26">
        <v>23</v>
      </c>
      <c r="G90" s="16">
        <v>93.837298874030338</v>
      </c>
      <c r="H90" s="16">
        <v>93.526104077926675</v>
      </c>
      <c r="I90" s="28">
        <v>96.247953320739796</v>
      </c>
      <c r="J90" s="28">
        <v>95.637889977533874</v>
      </c>
      <c r="K90" s="28">
        <v>96.392433813960011</v>
      </c>
      <c r="L90" s="28">
        <v>98.201010733695625</v>
      </c>
      <c r="M90" s="28">
        <v>90.804254835113568</v>
      </c>
      <c r="N90" s="71">
        <v>99.75</v>
      </c>
      <c r="O90" s="177"/>
    </row>
    <row r="91" spans="1:15" ht="20.25" customHeight="1">
      <c r="A91" s="765"/>
      <c r="B91" s="29" t="s">
        <v>200</v>
      </c>
      <c r="C91" s="26">
        <v>5</v>
      </c>
      <c r="D91" s="22">
        <v>80</v>
      </c>
      <c r="E91" s="22">
        <v>72</v>
      </c>
      <c r="F91" s="26">
        <v>13</v>
      </c>
      <c r="G91" s="16">
        <v>94.852202128680105</v>
      </c>
      <c r="H91" s="16">
        <v>94.679949609136955</v>
      </c>
      <c r="I91" s="28">
        <v>95.994789283993612</v>
      </c>
      <c r="J91" s="28">
        <v>97.680949770482002</v>
      </c>
      <c r="K91" s="28">
        <v>93.205820199122826</v>
      </c>
      <c r="L91" s="28">
        <v>96.787285844791654</v>
      </c>
      <c r="M91" s="28">
        <v>93.365109934280298</v>
      </c>
      <c r="N91" s="71">
        <v>98.125</v>
      </c>
      <c r="O91" s="177"/>
    </row>
    <row r="92" spans="1:15" ht="20.25" customHeight="1">
      <c r="A92" s="765"/>
      <c r="B92" s="29" t="s">
        <v>201</v>
      </c>
      <c r="C92" s="26">
        <v>5</v>
      </c>
      <c r="D92" s="22">
        <v>52</v>
      </c>
      <c r="E92" s="22">
        <v>51</v>
      </c>
      <c r="F92" s="26">
        <v>9</v>
      </c>
      <c r="G92" s="16">
        <v>95.387359963416884</v>
      </c>
      <c r="H92" s="16">
        <v>95.276168382544085</v>
      </c>
      <c r="I92" s="28">
        <v>95.588196003704965</v>
      </c>
      <c r="J92" s="28">
        <v>95.427052936290693</v>
      </c>
      <c r="K92" s="28">
        <v>96.441217206521742</v>
      </c>
      <c r="L92" s="28">
        <v>94.108190546970263</v>
      </c>
      <c r="M92" s="28">
        <v>94.964140761383206</v>
      </c>
      <c r="N92" s="71">
        <v>97.5</v>
      </c>
      <c r="O92" s="177"/>
    </row>
    <row r="93" spans="1:15" ht="20.25" customHeight="1">
      <c r="A93" s="765"/>
      <c r="B93" s="29" t="s">
        <v>202</v>
      </c>
      <c r="C93" s="26">
        <v>5</v>
      </c>
      <c r="D93" s="22">
        <v>28</v>
      </c>
      <c r="E93" s="22">
        <v>28</v>
      </c>
      <c r="F93" s="26">
        <v>5</v>
      </c>
      <c r="G93" s="16">
        <v>95.953025138103641</v>
      </c>
      <c r="H93" s="16">
        <v>95.772921198003843</v>
      </c>
      <c r="I93" s="28">
        <v>96.750863003408995</v>
      </c>
      <c r="J93" s="28">
        <v>96.702258037037083</v>
      </c>
      <c r="K93" s="28">
        <v>97.044538105405408</v>
      </c>
      <c r="L93" s="28">
        <v>96.317109814473682</v>
      </c>
      <c r="M93" s="28">
        <v>94.794979392598691</v>
      </c>
      <c r="N93" s="71">
        <v>99.375</v>
      </c>
      <c r="O93" s="177"/>
    </row>
    <row r="94" spans="1:15" ht="20.25" customHeight="1">
      <c r="A94" s="765"/>
      <c r="B94" s="29" t="s">
        <v>203</v>
      </c>
      <c r="C94" s="26">
        <v>5</v>
      </c>
      <c r="D94" s="22">
        <v>51</v>
      </c>
      <c r="E94" s="22">
        <v>50</v>
      </c>
      <c r="F94" s="26">
        <v>8</v>
      </c>
      <c r="G94" s="16">
        <v>95.400428121351311</v>
      </c>
      <c r="H94" s="16">
        <v>95.257029601422431</v>
      </c>
      <c r="I94" s="28">
        <v>95.866332992101661</v>
      </c>
      <c r="J94" s="28">
        <v>95.809443111508003</v>
      </c>
      <c r="K94" s="28">
        <v>94.552962075663359</v>
      </c>
      <c r="L94" s="28">
        <v>99.399216044117637</v>
      </c>
      <c r="M94" s="28">
        <v>94.647726210743215</v>
      </c>
      <c r="N94" s="71">
        <v>98.125</v>
      </c>
      <c r="O94" s="177"/>
    </row>
    <row r="95" spans="1:15" ht="20.25" customHeight="1">
      <c r="A95" s="765"/>
      <c r="B95" s="29" t="s">
        <v>204</v>
      </c>
      <c r="C95" s="26">
        <v>5</v>
      </c>
      <c r="D95" s="22">
        <v>46</v>
      </c>
      <c r="E95" s="22">
        <v>45</v>
      </c>
      <c r="F95" s="26">
        <v>7</v>
      </c>
      <c r="G95" s="16">
        <v>95.526286881660724</v>
      </c>
      <c r="H95" s="16">
        <v>95.382933559642879</v>
      </c>
      <c r="I95" s="28">
        <v>95.267492109285811</v>
      </c>
      <c r="J95" s="28">
        <v>93.208677244071765</v>
      </c>
      <c r="K95" s="28">
        <v>97.627989427272723</v>
      </c>
      <c r="L95" s="28">
        <v>96.74068809558824</v>
      </c>
      <c r="M95" s="28">
        <v>95.498375009999947</v>
      </c>
      <c r="N95" s="71">
        <v>98.25</v>
      </c>
      <c r="O95" s="177"/>
    </row>
    <row r="96" spans="1:15" ht="20.25" customHeight="1">
      <c r="A96" s="765"/>
      <c r="B96" s="29" t="s">
        <v>205</v>
      </c>
      <c r="C96" s="26">
        <v>5</v>
      </c>
      <c r="D96" s="22">
        <v>112</v>
      </c>
      <c r="E96" s="22">
        <v>88</v>
      </c>
      <c r="F96" s="26">
        <v>19</v>
      </c>
      <c r="G96" s="16">
        <v>94.115747908956109</v>
      </c>
      <c r="H96" s="16">
        <v>93.957366219953798</v>
      </c>
      <c r="I96" s="28">
        <v>95.018218647303911</v>
      </c>
      <c r="J96" s="28">
        <v>94.860536374519299</v>
      </c>
      <c r="K96" s="28">
        <v>95.201480613281248</v>
      </c>
      <c r="L96" s="28">
        <v>95.147946162499991</v>
      </c>
      <c r="M96" s="28">
        <v>92.896513792603685</v>
      </c>
      <c r="N96" s="71">
        <v>97.125</v>
      </c>
      <c r="O96" s="177"/>
    </row>
    <row r="97" spans="1:16" ht="20.25" customHeight="1">
      <c r="A97" s="765"/>
      <c r="B97" s="29" t="s">
        <v>206</v>
      </c>
      <c r="C97" s="26">
        <v>5</v>
      </c>
      <c r="D97" s="22">
        <v>11</v>
      </c>
      <c r="E97" s="22">
        <v>11</v>
      </c>
      <c r="F97" s="26">
        <v>3</v>
      </c>
      <c r="G97" s="16">
        <v>96.458009310412294</v>
      </c>
      <c r="H97" s="16">
        <v>96.337378221486631</v>
      </c>
      <c r="I97" s="28">
        <v>97.319960536061799</v>
      </c>
      <c r="J97" s="28">
        <v>98.581504320614101</v>
      </c>
      <c r="K97" s="28">
        <v>95.868311307894743</v>
      </c>
      <c r="L97" s="28">
        <v>96.389664699999983</v>
      </c>
      <c r="M97" s="28">
        <v>95.354795906911448</v>
      </c>
      <c r="N97" s="71">
        <v>98.75</v>
      </c>
      <c r="O97" s="177"/>
    </row>
    <row r="98" spans="1:16" ht="20.25" customHeight="1">
      <c r="A98" s="765"/>
      <c r="B98" s="29" t="s">
        <v>207</v>
      </c>
      <c r="C98" s="26">
        <v>5</v>
      </c>
      <c r="D98" s="22">
        <v>66</v>
      </c>
      <c r="E98" s="22">
        <v>62</v>
      </c>
      <c r="F98" s="26">
        <v>11</v>
      </c>
      <c r="G98" s="16">
        <v>95.165430593049123</v>
      </c>
      <c r="H98" s="16">
        <v>94.910979571630662</v>
      </c>
      <c r="I98" s="28">
        <v>95.136752427350331</v>
      </c>
      <c r="J98" s="28">
        <v>94.549559907083406</v>
      </c>
      <c r="K98" s="28">
        <v>96.72715554144736</v>
      </c>
      <c r="L98" s="28">
        <v>93.810238368421039</v>
      </c>
      <c r="M98" s="28">
        <v>94.685206715910994</v>
      </c>
      <c r="N98" s="71">
        <v>100</v>
      </c>
      <c r="O98" s="177"/>
    </row>
    <row r="99" spans="1:16" ht="20.25" customHeight="1">
      <c r="A99" s="765"/>
      <c r="B99" s="29" t="s">
        <v>208</v>
      </c>
      <c r="C99" s="26">
        <v>5</v>
      </c>
      <c r="D99" s="22">
        <v>41</v>
      </c>
      <c r="E99" s="22">
        <v>40</v>
      </c>
      <c r="F99" s="26">
        <v>6</v>
      </c>
      <c r="G99" s="16">
        <v>95.601669151805254</v>
      </c>
      <c r="H99" s="16">
        <v>95.370178054531848</v>
      </c>
      <c r="I99" s="28">
        <v>95.567313206818156</v>
      </c>
      <c r="J99" s="28">
        <v>94.484080546634672</v>
      </c>
      <c r="K99" s="28">
        <v>97.537920755000002</v>
      </c>
      <c r="L99" s="28">
        <v>95.40318802352941</v>
      </c>
      <c r="M99" s="28">
        <v>95.173042902245541</v>
      </c>
      <c r="N99" s="71">
        <v>100</v>
      </c>
      <c r="O99" s="177"/>
    </row>
    <row r="100" spans="1:16" ht="20.25" customHeight="1">
      <c r="A100" s="765"/>
      <c r="B100" s="29" t="s">
        <v>209</v>
      </c>
      <c r="C100" s="26">
        <v>5</v>
      </c>
      <c r="D100" s="22">
        <v>89</v>
      </c>
      <c r="E100" s="22">
        <v>77</v>
      </c>
      <c r="F100" s="26">
        <v>14</v>
      </c>
      <c r="G100" s="16">
        <v>94.600652765837083</v>
      </c>
      <c r="H100" s="16">
        <v>94.480950279828505</v>
      </c>
      <c r="I100" s="28">
        <v>94.788962621536655</v>
      </c>
      <c r="J100" s="28">
        <v>94.1755430454524</v>
      </c>
      <c r="K100" s="28">
        <v>95.244401744736848</v>
      </c>
      <c r="L100" s="28">
        <v>95.843493983333303</v>
      </c>
      <c r="M100" s="28">
        <v>94.172937938120342</v>
      </c>
      <c r="N100" s="71">
        <v>96.875</v>
      </c>
      <c r="O100" s="177"/>
    </row>
    <row r="101" spans="1:16" ht="20.25" customHeight="1">
      <c r="A101" s="765"/>
      <c r="B101" s="29" t="s">
        <v>210</v>
      </c>
      <c r="C101" s="26">
        <v>5</v>
      </c>
      <c r="D101" s="22">
        <v>9</v>
      </c>
      <c r="E101" s="22">
        <v>9</v>
      </c>
      <c r="F101" s="26">
        <v>2</v>
      </c>
      <c r="G101" s="16">
        <v>96.487961317602242</v>
      </c>
      <c r="H101" s="16">
        <v>96.382064544844468</v>
      </c>
      <c r="I101" s="28">
        <v>96.631960407777797</v>
      </c>
      <c r="J101" s="28">
        <v>98.379140805729222</v>
      </c>
      <c r="K101" s="28">
        <v>93.95835200416667</v>
      </c>
      <c r="L101" s="28">
        <v>96.327259824999999</v>
      </c>
      <c r="M101" s="28">
        <v>96.132168681911153</v>
      </c>
      <c r="N101" s="71">
        <v>98.5</v>
      </c>
      <c r="O101" s="177"/>
    </row>
    <row r="102" spans="1:16" ht="20.25" customHeight="1">
      <c r="A102" s="765"/>
      <c r="B102" s="29" t="s">
        <v>211</v>
      </c>
      <c r="C102" s="26">
        <v>5</v>
      </c>
      <c r="D102" s="22">
        <v>26</v>
      </c>
      <c r="E102" s="22">
        <v>26</v>
      </c>
      <c r="F102" s="26">
        <v>4</v>
      </c>
      <c r="G102" s="16">
        <v>95.973625865090625</v>
      </c>
      <c r="H102" s="16">
        <v>95.827500910621708</v>
      </c>
      <c r="I102" s="28">
        <v>96.609294415705193</v>
      </c>
      <c r="J102" s="28">
        <v>96.372962876829305</v>
      </c>
      <c r="K102" s="28">
        <v>97.837691140000004</v>
      </c>
      <c r="L102" s="28">
        <v>94.85760066458333</v>
      </c>
      <c r="M102" s="28">
        <v>95.045707405538224</v>
      </c>
      <c r="N102" s="71">
        <v>98.75</v>
      </c>
      <c r="O102" s="177"/>
    </row>
    <row r="103" spans="1:16" ht="20.25" customHeight="1">
      <c r="A103" s="765"/>
      <c r="B103" s="29" t="s">
        <v>212</v>
      </c>
      <c r="C103" s="26">
        <v>5</v>
      </c>
      <c r="D103" s="22">
        <v>73</v>
      </c>
      <c r="E103" s="22">
        <v>67</v>
      </c>
      <c r="F103" s="26">
        <v>12</v>
      </c>
      <c r="G103" s="16">
        <v>95.037592975220761</v>
      </c>
      <c r="H103" s="16">
        <v>94.776413658127126</v>
      </c>
      <c r="I103" s="28">
        <v>95.596321646505388</v>
      </c>
      <c r="J103" s="28">
        <v>96.563233949500045</v>
      </c>
      <c r="K103" s="28">
        <v>93.65966681696429</v>
      </c>
      <c r="L103" s="28">
        <v>95.988369651666659</v>
      </c>
      <c r="M103" s="28">
        <v>93.956505669748879</v>
      </c>
      <c r="N103" s="71">
        <v>100</v>
      </c>
      <c r="O103" s="177"/>
    </row>
    <row r="104" spans="1:16" ht="20.25" customHeight="1" thickBot="1">
      <c r="A104" s="766"/>
      <c r="B104" s="35" t="s">
        <v>213</v>
      </c>
      <c r="C104" s="27">
        <v>5</v>
      </c>
      <c r="D104" s="24">
        <v>115</v>
      </c>
      <c r="E104" s="24">
        <v>91</v>
      </c>
      <c r="F104" s="27">
        <v>20</v>
      </c>
      <c r="G104" s="36">
        <v>94.106310344731853</v>
      </c>
      <c r="H104" s="36">
        <v>93.796116152349327</v>
      </c>
      <c r="I104" s="37">
        <v>96.022492314583403</v>
      </c>
      <c r="J104" s="37">
        <v>97.814050777343766</v>
      </c>
      <c r="K104" s="37">
        <v>96.076156401250017</v>
      </c>
      <c r="L104" s="37">
        <v>88.722098246875007</v>
      </c>
      <c r="M104" s="37">
        <v>91.569739990115238</v>
      </c>
      <c r="N104" s="73">
        <v>100</v>
      </c>
      <c r="O104" s="177"/>
    </row>
    <row r="105" spans="1:16" s="41" customFormat="1" ht="20.25" customHeight="1" thickBot="1">
      <c r="P105" s="179"/>
    </row>
    <row r="106" spans="1:16" ht="20.25" customHeight="1">
      <c r="A106" s="772" t="s">
        <v>38</v>
      </c>
      <c r="B106" s="767" t="s">
        <v>39</v>
      </c>
      <c r="C106" s="767" t="s">
        <v>40</v>
      </c>
      <c r="D106" s="767" t="s">
        <v>41</v>
      </c>
      <c r="E106" s="767" t="s">
        <v>42</v>
      </c>
      <c r="F106" s="767" t="s">
        <v>43</v>
      </c>
      <c r="G106" s="769" t="s">
        <v>255</v>
      </c>
      <c r="H106" s="769" t="s">
        <v>256</v>
      </c>
      <c r="I106" s="767" t="s">
        <v>44</v>
      </c>
      <c r="J106" s="767"/>
      <c r="K106" s="767"/>
      <c r="L106" s="767"/>
      <c r="M106" s="767" t="s">
        <v>45</v>
      </c>
      <c r="N106" s="770" t="s">
        <v>259</v>
      </c>
      <c r="O106" s="175"/>
    </row>
    <row r="107" spans="1:16" ht="20.25" customHeight="1">
      <c r="A107" s="773"/>
      <c r="B107" s="768"/>
      <c r="C107" s="768"/>
      <c r="D107" s="768"/>
      <c r="E107" s="768"/>
      <c r="F107" s="768"/>
      <c r="G107" s="768"/>
      <c r="H107" s="768"/>
      <c r="I107" s="12" t="s">
        <v>46</v>
      </c>
      <c r="J107" s="12" t="s">
        <v>47</v>
      </c>
      <c r="K107" s="12" t="s">
        <v>48</v>
      </c>
      <c r="L107" s="12" t="s">
        <v>49</v>
      </c>
      <c r="M107" s="768"/>
      <c r="N107" s="771"/>
      <c r="O107" s="176"/>
    </row>
    <row r="108" spans="1:16" ht="20.25" customHeight="1">
      <c r="A108" s="773"/>
      <c r="B108" s="768"/>
      <c r="C108" s="768"/>
      <c r="D108" s="768"/>
      <c r="E108" s="768"/>
      <c r="F108" s="768"/>
      <c r="G108" s="12" t="s">
        <v>50</v>
      </c>
      <c r="H108" s="12" t="s">
        <v>50</v>
      </c>
      <c r="I108" s="12" t="s">
        <v>50</v>
      </c>
      <c r="J108" s="12" t="s">
        <v>50</v>
      </c>
      <c r="K108" s="12" t="s">
        <v>50</v>
      </c>
      <c r="L108" s="12" t="s">
        <v>50</v>
      </c>
      <c r="M108" s="12" t="s">
        <v>50</v>
      </c>
      <c r="N108" s="13" t="s">
        <v>258</v>
      </c>
      <c r="O108" s="176"/>
    </row>
    <row r="109" spans="1:16" ht="20.25" customHeight="1">
      <c r="A109" s="14" t="s">
        <v>51</v>
      </c>
      <c r="B109" s="15" t="s">
        <v>52</v>
      </c>
      <c r="C109" s="15" t="s">
        <v>52</v>
      </c>
      <c r="D109" s="15" t="s">
        <v>52</v>
      </c>
      <c r="E109" s="15" t="s">
        <v>52</v>
      </c>
      <c r="F109" s="15" t="s">
        <v>52</v>
      </c>
      <c r="G109" s="16">
        <v>95.109172632335131</v>
      </c>
      <c r="H109" s="16">
        <v>94.860532595440503</v>
      </c>
      <c r="I109" s="28">
        <v>94.849728419732259</v>
      </c>
      <c r="J109" s="28">
        <v>94.873867514023772</v>
      </c>
      <c r="K109" s="28">
        <v>94.582435902735554</v>
      </c>
      <c r="L109" s="28">
        <v>95.39556288353586</v>
      </c>
      <c r="M109" s="28">
        <v>94.841817575955304</v>
      </c>
      <c r="N109" s="71">
        <v>99.8333333333333</v>
      </c>
      <c r="O109" s="177"/>
    </row>
    <row r="110" spans="1:16" ht="20.25" customHeight="1">
      <c r="A110" s="765" t="s">
        <v>214</v>
      </c>
      <c r="B110" s="29" t="s">
        <v>215</v>
      </c>
      <c r="C110" s="26">
        <v>4</v>
      </c>
      <c r="D110" s="22">
        <v>186</v>
      </c>
      <c r="E110" s="22">
        <v>80</v>
      </c>
      <c r="F110" s="26">
        <v>15</v>
      </c>
      <c r="G110" s="16">
        <v>92.572872766243435</v>
      </c>
      <c r="H110" s="16">
        <v>92.247760806572046</v>
      </c>
      <c r="I110" s="28">
        <v>91.88864754075486</v>
      </c>
      <c r="J110" s="28">
        <v>92.038469140813987</v>
      </c>
      <c r="K110" s="28">
        <v>89.874540046611727</v>
      </c>
      <c r="L110" s="28">
        <v>96.22108328970387</v>
      </c>
      <c r="M110" s="28">
        <v>92.606874072389232</v>
      </c>
      <c r="N110" s="71">
        <v>98.75</v>
      </c>
      <c r="O110" s="177"/>
    </row>
    <row r="111" spans="1:16" ht="20.25" customHeight="1">
      <c r="A111" s="765"/>
      <c r="B111" s="29" t="s">
        <v>216</v>
      </c>
      <c r="C111" s="26">
        <v>4</v>
      </c>
      <c r="D111" s="22">
        <v>120</v>
      </c>
      <c r="E111" s="22">
        <v>27</v>
      </c>
      <c r="F111" s="26">
        <v>14</v>
      </c>
      <c r="G111" s="16">
        <v>94.060443066114232</v>
      </c>
      <c r="H111" s="16">
        <v>93.747834806436032</v>
      </c>
      <c r="I111" s="28">
        <v>92.74030001400844</v>
      </c>
      <c r="J111" s="28">
        <v>93.066806732164949</v>
      </c>
      <c r="K111" s="28">
        <v>94.300229346052632</v>
      </c>
      <c r="L111" s="28">
        <v>87.303590767045449</v>
      </c>
      <c r="M111" s="28">
        <v>94.755369598863638</v>
      </c>
      <c r="N111" s="71">
        <v>100</v>
      </c>
      <c r="O111" s="177"/>
    </row>
    <row r="112" spans="1:16" ht="20.25" customHeight="1">
      <c r="A112" s="765"/>
      <c r="B112" s="29" t="s">
        <v>217</v>
      </c>
      <c r="C112" s="26">
        <v>4</v>
      </c>
      <c r="D112" s="22">
        <v>37</v>
      </c>
      <c r="E112" s="22">
        <v>1</v>
      </c>
      <c r="F112" s="26">
        <v>5</v>
      </c>
      <c r="G112" s="16">
        <v>95.71188307445</v>
      </c>
      <c r="H112" s="16">
        <v>95.486192709947375</v>
      </c>
      <c r="I112" s="28">
        <v>95.828815666041663</v>
      </c>
      <c r="J112" s="28">
        <v>95.244327383969605</v>
      </c>
      <c r="K112" s="28">
        <v>97.358692452272734</v>
      </c>
      <c r="L112" s="28">
        <v>93.927691469270812</v>
      </c>
      <c r="M112" s="28">
        <v>95.143569753853086</v>
      </c>
      <c r="N112" s="71">
        <v>100</v>
      </c>
      <c r="O112" s="177"/>
    </row>
    <row r="113" spans="1:15" ht="20.25" customHeight="1">
      <c r="A113" s="765"/>
      <c r="B113" s="29" t="s">
        <v>218</v>
      </c>
      <c r="C113" s="26">
        <v>4</v>
      </c>
      <c r="D113" s="22">
        <v>88</v>
      </c>
      <c r="E113" s="22">
        <v>12</v>
      </c>
      <c r="F113" s="26">
        <v>13</v>
      </c>
      <c r="G113" s="16">
        <v>94.639951148714445</v>
      </c>
      <c r="H113" s="16">
        <v>94.357843314436266</v>
      </c>
      <c r="I113" s="28">
        <v>94.148276661585129</v>
      </c>
      <c r="J113" s="28">
        <v>93.87817488327795</v>
      </c>
      <c r="K113" s="28">
        <v>94.337464577777808</v>
      </c>
      <c r="L113" s="28">
        <v>94.74437841351353</v>
      </c>
      <c r="M113" s="28">
        <v>94.567409967287404</v>
      </c>
      <c r="N113" s="71">
        <v>100</v>
      </c>
      <c r="O113" s="177"/>
    </row>
    <row r="114" spans="1:15" ht="20.25" customHeight="1">
      <c r="A114" s="765"/>
      <c r="B114" s="29" t="s">
        <v>219</v>
      </c>
      <c r="C114" s="26">
        <v>4</v>
      </c>
      <c r="D114" s="22">
        <v>56</v>
      </c>
      <c r="E114" s="22">
        <v>2</v>
      </c>
      <c r="F114" s="26">
        <v>8</v>
      </c>
      <c r="G114" s="16">
        <v>95.307374488085983</v>
      </c>
      <c r="H114" s="16">
        <v>95.060394197985246</v>
      </c>
      <c r="I114" s="28">
        <v>94.860520130582586</v>
      </c>
      <c r="J114" s="28">
        <v>95.714310778017165</v>
      </c>
      <c r="K114" s="28">
        <v>92.848484735645684</v>
      </c>
      <c r="L114" s="28">
        <v>96.781369742356958</v>
      </c>
      <c r="M114" s="28">
        <v>95.260268265387907</v>
      </c>
      <c r="N114" s="71">
        <v>100</v>
      </c>
      <c r="O114" s="177"/>
    </row>
    <row r="115" spans="1:15" ht="20.25" customHeight="1">
      <c r="A115" s="765"/>
      <c r="B115" s="29" t="s">
        <v>220</v>
      </c>
      <c r="C115" s="26">
        <v>5</v>
      </c>
      <c r="D115" s="22">
        <v>17</v>
      </c>
      <c r="E115" s="22">
        <v>17</v>
      </c>
      <c r="F115" s="26">
        <v>2</v>
      </c>
      <c r="G115" s="16">
        <v>96.22340489020408</v>
      </c>
      <c r="H115" s="16">
        <v>96.024636726530616</v>
      </c>
      <c r="I115" s="28">
        <v>96.059350537256989</v>
      </c>
      <c r="J115" s="28">
        <v>95.782832508241867</v>
      </c>
      <c r="K115" s="28">
        <v>96.45546657672412</v>
      </c>
      <c r="L115" s="28">
        <v>96.171392736363615</v>
      </c>
      <c r="M115" s="28">
        <v>95.989922915804229</v>
      </c>
      <c r="N115" s="71">
        <v>100</v>
      </c>
      <c r="O115" s="177"/>
    </row>
    <row r="116" spans="1:15" ht="20.25" customHeight="1">
      <c r="A116" s="765"/>
      <c r="B116" s="29" t="s">
        <v>221</v>
      </c>
      <c r="C116" s="26">
        <v>5</v>
      </c>
      <c r="D116" s="22">
        <v>87</v>
      </c>
      <c r="E116" s="22">
        <v>76</v>
      </c>
      <c r="F116" s="26">
        <v>12</v>
      </c>
      <c r="G116" s="16">
        <v>94.701948845091863</v>
      </c>
      <c r="H116" s="16">
        <v>94.423104047465117</v>
      </c>
      <c r="I116" s="28">
        <v>95.080777824917163</v>
      </c>
      <c r="J116" s="28">
        <v>95.288767660054276</v>
      </c>
      <c r="K116" s="28">
        <v>93.956182889833087</v>
      </c>
      <c r="L116" s="28">
        <v>96.959287698076906</v>
      </c>
      <c r="M116" s="28">
        <v>93.76543027001307</v>
      </c>
      <c r="N116" s="71">
        <v>100</v>
      </c>
      <c r="O116" s="177"/>
    </row>
    <row r="117" spans="1:15" ht="20.25" customHeight="1">
      <c r="A117" s="765"/>
      <c r="B117" s="29" t="s">
        <v>222</v>
      </c>
      <c r="C117" s="26">
        <v>5</v>
      </c>
      <c r="D117" s="22">
        <v>81</v>
      </c>
      <c r="E117" s="22">
        <v>73</v>
      </c>
      <c r="F117" s="26">
        <v>11</v>
      </c>
      <c r="G117" s="16">
        <v>94.836018219692221</v>
      </c>
      <c r="H117" s="16">
        <v>94.56422970493918</v>
      </c>
      <c r="I117" s="28">
        <v>95.80885795178888</v>
      </c>
      <c r="J117" s="28">
        <v>94.376736643592182</v>
      </c>
      <c r="K117" s="28">
        <v>97.222918126041677</v>
      </c>
      <c r="L117" s="28">
        <v>97.590002780434787</v>
      </c>
      <c r="M117" s="28">
        <v>93.319601458089494</v>
      </c>
      <c r="N117" s="71">
        <v>100</v>
      </c>
      <c r="O117" s="177"/>
    </row>
    <row r="118" spans="1:15" ht="20.25" customHeight="1">
      <c r="A118" s="765"/>
      <c r="B118" s="29" t="s">
        <v>223</v>
      </c>
      <c r="C118" s="26">
        <v>5</v>
      </c>
      <c r="D118" s="22">
        <v>7</v>
      </c>
      <c r="E118" s="22">
        <v>7</v>
      </c>
      <c r="F118" s="26">
        <v>1</v>
      </c>
      <c r="G118" s="16">
        <v>96.58488949571462</v>
      </c>
      <c r="H118" s="16">
        <v>96.405146837594344</v>
      </c>
      <c r="I118" s="28">
        <v>96.685547521875023</v>
      </c>
      <c r="J118" s="28">
        <v>98.02094889347832</v>
      </c>
      <c r="K118" s="28">
        <v>94.812646089423069</v>
      </c>
      <c r="L118" s="28">
        <v>95.889733406249988</v>
      </c>
      <c r="M118" s="28">
        <v>96.124746153313652</v>
      </c>
      <c r="N118" s="71">
        <v>100</v>
      </c>
      <c r="O118" s="177"/>
    </row>
    <row r="119" spans="1:15" ht="20.25" customHeight="1">
      <c r="A119" s="765"/>
      <c r="B119" s="29" t="s">
        <v>224</v>
      </c>
      <c r="C119" s="26">
        <v>5</v>
      </c>
      <c r="D119" s="22">
        <v>30</v>
      </c>
      <c r="E119" s="22">
        <v>30</v>
      </c>
      <c r="F119" s="26">
        <v>4</v>
      </c>
      <c r="G119" s="16">
        <v>95.87658509180487</v>
      </c>
      <c r="H119" s="16">
        <v>95.659563254531449</v>
      </c>
      <c r="I119" s="28">
        <v>96.399730245043969</v>
      </c>
      <c r="J119" s="28">
        <v>97.657390520297596</v>
      </c>
      <c r="K119" s="28">
        <v>94.438731933333344</v>
      </c>
      <c r="L119" s="28">
        <v>96.116015736249992</v>
      </c>
      <c r="M119" s="28">
        <v>94.919396264018928</v>
      </c>
      <c r="N119" s="71">
        <v>100</v>
      </c>
      <c r="O119" s="177"/>
    </row>
    <row r="120" spans="1:15" ht="20.25" customHeight="1">
      <c r="A120" s="765"/>
      <c r="B120" s="29" t="s">
        <v>225</v>
      </c>
      <c r="C120" s="26">
        <v>5</v>
      </c>
      <c r="D120" s="22">
        <v>65</v>
      </c>
      <c r="E120" s="22">
        <v>61</v>
      </c>
      <c r="F120" s="26">
        <v>9</v>
      </c>
      <c r="G120" s="16">
        <v>95.192425352432068</v>
      </c>
      <c r="H120" s="16">
        <v>94.939395107823231</v>
      </c>
      <c r="I120" s="28">
        <v>94.032805713222245</v>
      </c>
      <c r="J120" s="28">
        <v>94.036205679160261</v>
      </c>
      <c r="K120" s="28">
        <v>93.647968033628061</v>
      </c>
      <c r="L120" s="28">
        <v>94.94854377058823</v>
      </c>
      <c r="M120" s="28">
        <v>95.84598450242423</v>
      </c>
      <c r="N120" s="71">
        <v>100</v>
      </c>
      <c r="O120" s="177"/>
    </row>
    <row r="121" spans="1:15" ht="20.25" customHeight="1">
      <c r="A121" s="765"/>
      <c r="B121" s="29" t="s">
        <v>226</v>
      </c>
      <c r="C121" s="26">
        <v>5</v>
      </c>
      <c r="D121" s="22">
        <v>19</v>
      </c>
      <c r="E121" s="22">
        <v>19</v>
      </c>
      <c r="F121" s="26">
        <v>3</v>
      </c>
      <c r="G121" s="16">
        <v>96.141613495421169</v>
      </c>
      <c r="H121" s="16">
        <v>95.938540521495966</v>
      </c>
      <c r="I121" s="28">
        <v>96.688285498304936</v>
      </c>
      <c r="J121" s="28">
        <v>96.978504290163997</v>
      </c>
      <c r="K121" s="28">
        <v>95.593239373717978</v>
      </c>
      <c r="L121" s="28">
        <v>98.077366195833321</v>
      </c>
      <c r="M121" s="28">
        <v>95.188795544686997</v>
      </c>
      <c r="N121" s="71">
        <v>100</v>
      </c>
      <c r="O121" s="177"/>
    </row>
    <row r="122" spans="1:15" ht="20.25" customHeight="1">
      <c r="A122" s="765"/>
      <c r="B122" s="29" t="s">
        <v>227</v>
      </c>
      <c r="C122" s="26">
        <v>5</v>
      </c>
      <c r="D122" s="22">
        <v>45</v>
      </c>
      <c r="E122" s="22">
        <v>44</v>
      </c>
      <c r="F122" s="26">
        <v>7</v>
      </c>
      <c r="G122" s="16">
        <v>95.563755687039276</v>
      </c>
      <c r="H122" s="16">
        <v>95.330269144251872</v>
      </c>
      <c r="I122" s="28">
        <v>94.891088265911463</v>
      </c>
      <c r="J122" s="28">
        <v>94.594377545302706</v>
      </c>
      <c r="K122" s="28">
        <v>93.625384242874986</v>
      </c>
      <c r="L122" s="28">
        <v>98.467555595833332</v>
      </c>
      <c r="M122" s="28">
        <v>95.769450022592267</v>
      </c>
      <c r="N122" s="71">
        <v>100</v>
      </c>
      <c r="O122" s="177"/>
    </row>
    <row r="123" spans="1:15" ht="20.25" customHeight="1">
      <c r="A123" s="765"/>
      <c r="B123" s="29" t="s">
        <v>228</v>
      </c>
      <c r="C123" s="26">
        <v>5</v>
      </c>
      <c r="D123" s="22">
        <v>42</v>
      </c>
      <c r="E123" s="22">
        <v>41</v>
      </c>
      <c r="F123" s="26">
        <v>6</v>
      </c>
      <c r="G123" s="16">
        <v>95.597033322492223</v>
      </c>
      <c r="H123" s="16">
        <v>95.431087707886547</v>
      </c>
      <c r="I123" s="28">
        <v>95.571739545786571</v>
      </c>
      <c r="J123" s="28">
        <v>95.824062084782668</v>
      </c>
      <c r="K123" s="28">
        <v>96.251480915178576</v>
      </c>
      <c r="L123" s="28">
        <v>93.529099869999996</v>
      </c>
      <c r="M123" s="28">
        <v>95.29043586998651</v>
      </c>
      <c r="N123" s="71">
        <v>98.75</v>
      </c>
      <c r="O123" s="177"/>
    </row>
    <row r="124" spans="1:15" ht="20.25" customHeight="1" thickBot="1">
      <c r="A124" s="766"/>
      <c r="B124" s="35" t="s">
        <v>229</v>
      </c>
      <c r="C124" s="77">
        <v>4</v>
      </c>
      <c r="D124" s="78">
        <v>70</v>
      </c>
      <c r="E124" s="78">
        <v>6</v>
      </c>
      <c r="F124" s="77">
        <v>10</v>
      </c>
      <c r="G124" s="36">
        <v>95.066116320327879</v>
      </c>
      <c r="H124" s="36">
        <v>94.806438231924091</v>
      </c>
      <c r="I124" s="37">
        <v>94.889693761697643</v>
      </c>
      <c r="J124" s="37">
        <v>94.936633249367176</v>
      </c>
      <c r="K124" s="37">
        <v>95.07387657115386</v>
      </c>
      <c r="L124" s="37">
        <v>94.285797142717016</v>
      </c>
      <c r="M124" s="37">
        <v>94.723182702150538</v>
      </c>
      <c r="N124" s="73">
        <v>100</v>
      </c>
      <c r="O124" s="177"/>
    </row>
    <row r="125" spans="1:15" ht="19.5" customHeight="1" thickBot="1"/>
    <row r="126" spans="1:15" ht="20.25" customHeight="1">
      <c r="A126" s="772" t="s">
        <v>38</v>
      </c>
      <c r="B126" s="767" t="s">
        <v>39</v>
      </c>
      <c r="C126" s="767" t="s">
        <v>40</v>
      </c>
      <c r="D126" s="767" t="s">
        <v>41</v>
      </c>
      <c r="E126" s="767" t="s">
        <v>42</v>
      </c>
      <c r="F126" s="767" t="s">
        <v>43</v>
      </c>
      <c r="G126" s="769" t="s">
        <v>255</v>
      </c>
      <c r="H126" s="769" t="s">
        <v>256</v>
      </c>
      <c r="I126" s="767" t="s">
        <v>44</v>
      </c>
      <c r="J126" s="767"/>
      <c r="K126" s="767"/>
      <c r="L126" s="767"/>
      <c r="M126" s="767" t="s">
        <v>45</v>
      </c>
      <c r="N126" s="770" t="s">
        <v>259</v>
      </c>
      <c r="O126" s="175"/>
    </row>
    <row r="127" spans="1:15" ht="20.25" customHeight="1">
      <c r="A127" s="773"/>
      <c r="B127" s="768"/>
      <c r="C127" s="768"/>
      <c r="D127" s="768"/>
      <c r="E127" s="768"/>
      <c r="F127" s="768"/>
      <c r="G127" s="768"/>
      <c r="H127" s="768"/>
      <c r="I127" s="12" t="s">
        <v>46</v>
      </c>
      <c r="J127" s="12" t="s">
        <v>47</v>
      </c>
      <c r="K127" s="12" t="s">
        <v>48</v>
      </c>
      <c r="L127" s="12" t="s">
        <v>49</v>
      </c>
      <c r="M127" s="768"/>
      <c r="N127" s="771"/>
      <c r="O127" s="176"/>
    </row>
    <row r="128" spans="1:15" ht="20.25" customHeight="1">
      <c r="A128" s="773"/>
      <c r="B128" s="768"/>
      <c r="C128" s="768"/>
      <c r="D128" s="768"/>
      <c r="E128" s="768"/>
      <c r="F128" s="768"/>
      <c r="G128" s="12" t="s">
        <v>50</v>
      </c>
      <c r="H128" s="12" t="s">
        <v>50</v>
      </c>
      <c r="I128" s="12" t="s">
        <v>50</v>
      </c>
      <c r="J128" s="12" t="s">
        <v>50</v>
      </c>
      <c r="K128" s="12" t="s">
        <v>50</v>
      </c>
      <c r="L128" s="12" t="s">
        <v>50</v>
      </c>
      <c r="M128" s="12" t="s">
        <v>50</v>
      </c>
      <c r="N128" s="13" t="s">
        <v>258</v>
      </c>
      <c r="O128" s="176"/>
    </row>
    <row r="129" spans="1:15" ht="20.25" customHeight="1">
      <c r="A129" s="14" t="s">
        <v>51</v>
      </c>
      <c r="B129" s="15" t="s">
        <v>52</v>
      </c>
      <c r="C129" s="15" t="s">
        <v>52</v>
      </c>
      <c r="D129" s="15" t="s">
        <v>52</v>
      </c>
      <c r="E129" s="15" t="s">
        <v>52</v>
      </c>
      <c r="F129" s="15" t="s">
        <v>52</v>
      </c>
      <c r="G129" s="16">
        <v>94.755891426272541</v>
      </c>
      <c r="H129" s="16">
        <v>94.548384163878211</v>
      </c>
      <c r="I129" s="28">
        <v>94.522269809495526</v>
      </c>
      <c r="J129" s="28">
        <v>94.494680499242463</v>
      </c>
      <c r="K129" s="28">
        <v>94.422110030781838</v>
      </c>
      <c r="L129" s="28">
        <v>94.834427137229213</v>
      </c>
      <c r="M129" s="28">
        <v>94.720669454310453</v>
      </c>
      <c r="N129" s="71">
        <v>98.69852941176471</v>
      </c>
      <c r="O129" s="177"/>
    </row>
    <row r="130" spans="1:15" ht="20.25" customHeight="1">
      <c r="A130" s="765" t="s">
        <v>230</v>
      </c>
      <c r="B130" s="29" t="s">
        <v>231</v>
      </c>
      <c r="C130" s="26">
        <v>4</v>
      </c>
      <c r="D130" s="22">
        <v>107</v>
      </c>
      <c r="E130" s="22">
        <v>22</v>
      </c>
      <c r="F130" s="26">
        <v>12</v>
      </c>
      <c r="G130" s="16">
        <v>94.254819441561665</v>
      </c>
      <c r="H130" s="16">
        <v>94.018230991117548</v>
      </c>
      <c r="I130" s="28">
        <v>93.543117987770955</v>
      </c>
      <c r="J130" s="28">
        <v>93.778170506651364</v>
      </c>
      <c r="K130" s="28">
        <v>92.14836176126758</v>
      </c>
      <c r="L130" s="28">
        <v>96.261894562727321</v>
      </c>
      <c r="M130" s="28">
        <v>94.493343994464126</v>
      </c>
      <c r="N130" s="71">
        <v>98.75</v>
      </c>
      <c r="O130" s="177"/>
    </row>
    <row r="131" spans="1:15" ht="20.25" customHeight="1">
      <c r="A131" s="765"/>
      <c r="B131" s="29" t="s">
        <v>232</v>
      </c>
      <c r="C131" s="26">
        <v>4</v>
      </c>
      <c r="D131" s="22">
        <v>123</v>
      </c>
      <c r="E131" s="22">
        <v>30</v>
      </c>
      <c r="F131" s="26">
        <v>15</v>
      </c>
      <c r="G131" s="16">
        <v>93.958522355699287</v>
      </c>
      <c r="H131" s="16">
        <v>93.640549848104513</v>
      </c>
      <c r="I131" s="28">
        <v>93.853333466688227</v>
      </c>
      <c r="J131" s="28">
        <v>93.046311703631659</v>
      </c>
      <c r="K131" s="28">
        <v>94.733874708712136</v>
      </c>
      <c r="L131" s="28">
        <v>95.097068891673572</v>
      </c>
      <c r="M131" s="28">
        <v>93.427766229520799</v>
      </c>
      <c r="N131" s="71">
        <v>100</v>
      </c>
      <c r="O131" s="177"/>
    </row>
    <row r="132" spans="1:15" ht="20.25" customHeight="1">
      <c r="A132" s="765"/>
      <c r="B132" s="29" t="s">
        <v>233</v>
      </c>
      <c r="C132" s="26">
        <v>4</v>
      </c>
      <c r="D132" s="22">
        <v>85</v>
      </c>
      <c r="E132" s="22">
        <v>11</v>
      </c>
      <c r="F132" s="26">
        <v>10</v>
      </c>
      <c r="G132" s="16">
        <v>94.730638872332378</v>
      </c>
      <c r="H132" s="16">
        <v>94.558567234034086</v>
      </c>
      <c r="I132" s="28">
        <v>94.342489728992163</v>
      </c>
      <c r="J132" s="28">
        <v>94.725126368380842</v>
      </c>
      <c r="K132" s="28">
        <v>93.214859461693564</v>
      </c>
      <c r="L132" s="28">
        <v>95.517726515624986</v>
      </c>
      <c r="M132" s="28">
        <v>94.774644739075995</v>
      </c>
      <c r="N132" s="71">
        <v>98</v>
      </c>
      <c r="O132" s="177"/>
    </row>
    <row r="133" spans="1:15" ht="20.25" customHeight="1">
      <c r="A133" s="765"/>
      <c r="B133" s="29" t="s">
        <v>234</v>
      </c>
      <c r="C133" s="26">
        <v>4</v>
      </c>
      <c r="D133" s="22">
        <v>117</v>
      </c>
      <c r="E133" s="22">
        <v>25</v>
      </c>
      <c r="F133" s="26">
        <v>14</v>
      </c>
      <c r="G133" s="16">
        <v>94.086352946843164</v>
      </c>
      <c r="H133" s="16">
        <v>93.775108365098077</v>
      </c>
      <c r="I133" s="28">
        <v>91.767506102499922</v>
      </c>
      <c r="J133" s="28">
        <v>92.392521809210564</v>
      </c>
      <c r="K133" s="28">
        <v>90.594854836486505</v>
      </c>
      <c r="L133" s="28">
        <v>92.252643699999993</v>
      </c>
      <c r="M133" s="28">
        <v>95.782710627696218</v>
      </c>
      <c r="N133" s="71">
        <v>100</v>
      </c>
      <c r="O133" s="177"/>
    </row>
    <row r="134" spans="1:15" ht="20.25" customHeight="1">
      <c r="A134" s="765"/>
      <c r="B134" s="29" t="s">
        <v>235</v>
      </c>
      <c r="C134" s="26">
        <v>5</v>
      </c>
      <c r="D134" s="22">
        <v>91</v>
      </c>
      <c r="E134" s="22">
        <v>78</v>
      </c>
      <c r="F134" s="26">
        <v>11</v>
      </c>
      <c r="G134" s="16">
        <v>94.577748062225595</v>
      </c>
      <c r="H134" s="16">
        <v>94.325261118132204</v>
      </c>
      <c r="I134" s="28">
        <v>93.862344486982465</v>
      </c>
      <c r="J134" s="28">
        <v>93.631674265127018</v>
      </c>
      <c r="K134" s="28">
        <v>92.798109516911751</v>
      </c>
      <c r="L134" s="28">
        <v>96.679911873611104</v>
      </c>
      <c r="M134" s="28">
        <v>94.788177749281928</v>
      </c>
      <c r="N134" s="71">
        <v>99.375</v>
      </c>
      <c r="O134" s="177"/>
    </row>
    <row r="135" spans="1:15" ht="20.25" customHeight="1">
      <c r="A135" s="765"/>
      <c r="B135" s="29" t="s">
        <v>236</v>
      </c>
      <c r="C135" s="79">
        <v>4</v>
      </c>
      <c r="D135" s="80">
        <v>126</v>
      </c>
      <c r="E135" s="22">
        <v>33</v>
      </c>
      <c r="F135" s="26">
        <v>16</v>
      </c>
      <c r="G135" s="16">
        <v>93.940082835375065</v>
      </c>
      <c r="H135" s="16">
        <v>93.818508247763233</v>
      </c>
      <c r="I135" s="28">
        <v>94.894324103799875</v>
      </c>
      <c r="J135" s="28">
        <v>94.645076183582148</v>
      </c>
      <c r="K135" s="28">
        <v>94.705251869375005</v>
      </c>
      <c r="L135" s="28">
        <v>96.242240772222232</v>
      </c>
      <c r="M135" s="28">
        <v>92.742692391726592</v>
      </c>
      <c r="N135" s="71">
        <v>96.25</v>
      </c>
      <c r="O135" s="177"/>
    </row>
    <row r="136" spans="1:15" ht="20.25" customHeight="1">
      <c r="A136" s="765"/>
      <c r="B136" s="29" t="s">
        <v>237</v>
      </c>
      <c r="C136" s="26">
        <v>5</v>
      </c>
      <c r="D136" s="22">
        <v>36</v>
      </c>
      <c r="E136" s="22">
        <v>36</v>
      </c>
      <c r="F136" s="26">
        <v>4</v>
      </c>
      <c r="G136" s="16">
        <v>95.732011439306888</v>
      </c>
      <c r="H136" s="16">
        <v>95.638959409796726</v>
      </c>
      <c r="I136" s="28">
        <v>94.734152041528702</v>
      </c>
      <c r="J136" s="28">
        <v>93.872510662662563</v>
      </c>
      <c r="K136" s="28">
        <v>95.177858763043488</v>
      </c>
      <c r="L136" s="28">
        <v>96.236626561666668</v>
      </c>
      <c r="M136" s="28">
        <v>96.54376677806475</v>
      </c>
      <c r="N136" s="71">
        <v>97.5</v>
      </c>
      <c r="O136" s="177"/>
    </row>
    <row r="137" spans="1:15" ht="20.25" customHeight="1">
      <c r="A137" s="765"/>
      <c r="B137" s="29" t="s">
        <v>238</v>
      </c>
      <c r="C137" s="26">
        <v>5</v>
      </c>
      <c r="D137" s="22">
        <v>71</v>
      </c>
      <c r="E137" s="22">
        <v>65</v>
      </c>
      <c r="F137" s="26">
        <v>8</v>
      </c>
      <c r="G137" s="16">
        <v>95.064723236711913</v>
      </c>
      <c r="H137" s="16">
        <v>94.897077091275705</v>
      </c>
      <c r="I137" s="28">
        <v>94.807476609177257</v>
      </c>
      <c r="J137" s="28">
        <v>93.345760250000026</v>
      </c>
      <c r="K137" s="28">
        <v>96.417543944230772</v>
      </c>
      <c r="L137" s="28">
        <v>95.889275701785706</v>
      </c>
      <c r="M137" s="28">
        <v>94.986677573374152</v>
      </c>
      <c r="N137" s="71">
        <v>98.25</v>
      </c>
      <c r="O137" s="177"/>
    </row>
    <row r="138" spans="1:15" ht="20.25" customHeight="1">
      <c r="A138" s="765"/>
      <c r="B138" s="29" t="s">
        <v>239</v>
      </c>
      <c r="C138" s="26">
        <v>5</v>
      </c>
      <c r="D138" s="22">
        <v>57</v>
      </c>
      <c r="E138" s="22">
        <v>55</v>
      </c>
      <c r="F138" s="26">
        <v>5</v>
      </c>
      <c r="G138" s="16">
        <v>95.288251168147511</v>
      </c>
      <c r="H138" s="16">
        <v>95.040264387523706</v>
      </c>
      <c r="I138" s="28">
        <v>94.65021319608509</v>
      </c>
      <c r="J138" s="28">
        <v>94.562199010245962</v>
      </c>
      <c r="K138" s="28">
        <v>95.655443146200824</v>
      </c>
      <c r="L138" s="28">
        <v>92.714639158950433</v>
      </c>
      <c r="M138" s="28">
        <v>95.430315578962336</v>
      </c>
      <c r="N138" s="71">
        <v>100</v>
      </c>
      <c r="O138" s="177"/>
    </row>
    <row r="139" spans="1:15" ht="20.25" customHeight="1">
      <c r="A139" s="765"/>
      <c r="B139" s="29" t="s">
        <v>240</v>
      </c>
      <c r="C139" s="26">
        <v>5</v>
      </c>
      <c r="D139" s="22">
        <v>75</v>
      </c>
      <c r="E139" s="22">
        <v>69</v>
      </c>
      <c r="F139" s="26">
        <v>9</v>
      </c>
      <c r="G139" s="16">
        <v>94.926686844469131</v>
      </c>
      <c r="H139" s="16">
        <v>94.659670362599087</v>
      </c>
      <c r="I139" s="28">
        <v>94.879291663761379</v>
      </c>
      <c r="J139" s="28">
        <v>95.232851786391194</v>
      </c>
      <c r="K139" s="28">
        <v>95.201766921153862</v>
      </c>
      <c r="L139" s="28">
        <v>93.219728674999985</v>
      </c>
      <c r="M139" s="28">
        <v>94.440049061436781</v>
      </c>
      <c r="N139" s="71">
        <v>100</v>
      </c>
      <c r="O139" s="177"/>
    </row>
    <row r="140" spans="1:15" ht="20.25" customHeight="1">
      <c r="A140" s="765"/>
      <c r="B140" s="29" t="s">
        <v>241</v>
      </c>
      <c r="C140" s="26">
        <v>5</v>
      </c>
      <c r="D140" s="22">
        <v>113</v>
      </c>
      <c r="E140" s="22">
        <v>89</v>
      </c>
      <c r="F140" s="26">
        <v>13</v>
      </c>
      <c r="G140" s="16">
        <v>94.107340447512669</v>
      </c>
      <c r="H140" s="16">
        <v>93.902463628960703</v>
      </c>
      <c r="I140" s="28">
        <v>94.770029579427344</v>
      </c>
      <c r="J140" s="28">
        <v>94.819684587758488</v>
      </c>
      <c r="K140" s="28">
        <v>94.889577060603457</v>
      </c>
      <c r="L140" s="28">
        <v>94.369555840000004</v>
      </c>
      <c r="M140" s="28">
        <v>93.034897678494048</v>
      </c>
      <c r="N140" s="71">
        <v>98</v>
      </c>
      <c r="O140" s="177"/>
    </row>
    <row r="141" spans="1:15" ht="20.25" customHeight="1">
      <c r="A141" s="765"/>
      <c r="B141" s="29" t="s">
        <v>242</v>
      </c>
      <c r="C141" s="26">
        <v>5</v>
      </c>
      <c r="D141" s="22">
        <v>69</v>
      </c>
      <c r="E141" s="22">
        <v>64</v>
      </c>
      <c r="F141" s="26">
        <v>7</v>
      </c>
      <c r="G141" s="16">
        <v>95.12730899379828</v>
      </c>
      <c r="H141" s="16">
        <v>95.068219993471871</v>
      </c>
      <c r="I141" s="28">
        <v>95.745919357674197</v>
      </c>
      <c r="J141" s="28">
        <v>95.495218192427586</v>
      </c>
      <c r="K141" s="28">
        <v>97.6821886422414</v>
      </c>
      <c r="L141" s="28">
        <v>92.838135958333325</v>
      </c>
      <c r="M141" s="28">
        <v>94.390520629269531</v>
      </c>
      <c r="N141" s="71">
        <v>96.25</v>
      </c>
      <c r="O141" s="177"/>
    </row>
    <row r="142" spans="1:15" ht="20.25" customHeight="1">
      <c r="A142" s="765"/>
      <c r="B142" s="29" t="s">
        <v>243</v>
      </c>
      <c r="C142" s="26">
        <v>5</v>
      </c>
      <c r="D142" s="22">
        <v>142</v>
      </c>
      <c r="E142" s="22">
        <v>100</v>
      </c>
      <c r="F142" s="26">
        <v>17</v>
      </c>
      <c r="G142" s="16">
        <v>93.533606226889589</v>
      </c>
      <c r="H142" s="16">
        <v>93.19326971251536</v>
      </c>
      <c r="I142" s="28">
        <v>93.372909729761943</v>
      </c>
      <c r="J142" s="28">
        <v>95.041533452380989</v>
      </c>
      <c r="K142" s="28">
        <v>91.004225856730756</v>
      </c>
      <c r="L142" s="28">
        <v>92.841883751562492</v>
      </c>
      <c r="M142" s="28">
        <v>93.013629695268776</v>
      </c>
      <c r="N142" s="71">
        <v>100</v>
      </c>
      <c r="O142" s="177"/>
    </row>
    <row r="143" spans="1:15" ht="20.25" customHeight="1">
      <c r="A143" s="765"/>
      <c r="B143" s="29" t="s">
        <v>244</v>
      </c>
      <c r="C143" s="26">
        <v>5</v>
      </c>
      <c r="D143" s="22">
        <v>4</v>
      </c>
      <c r="E143" s="22">
        <v>4</v>
      </c>
      <c r="F143" s="26">
        <v>1</v>
      </c>
      <c r="G143" s="16">
        <v>96.685601269881275</v>
      </c>
      <c r="H143" s="16">
        <v>96.511159231453973</v>
      </c>
      <c r="I143" s="28">
        <v>96.897423637013986</v>
      </c>
      <c r="J143" s="28">
        <v>95.021583831632697</v>
      </c>
      <c r="K143" s="28">
        <v>99.003524229071544</v>
      </c>
      <c r="L143" s="28">
        <v>99.126599229545448</v>
      </c>
      <c r="M143" s="28">
        <v>96.124894825893961</v>
      </c>
      <c r="N143" s="71">
        <v>100</v>
      </c>
      <c r="O143" s="177"/>
    </row>
    <row r="144" spans="1:15" ht="20.25" customHeight="1">
      <c r="A144" s="765"/>
      <c r="B144" s="29" t="s">
        <v>245</v>
      </c>
      <c r="C144" s="26">
        <v>5</v>
      </c>
      <c r="D144" s="22">
        <v>31</v>
      </c>
      <c r="E144" s="22">
        <v>31</v>
      </c>
      <c r="F144" s="26">
        <v>3</v>
      </c>
      <c r="G144" s="16">
        <v>95.861701353049824</v>
      </c>
      <c r="H144" s="16">
        <v>95.775475108473501</v>
      </c>
      <c r="I144" s="28">
        <v>95.899032520204642</v>
      </c>
      <c r="J144" s="28">
        <v>96.970043425000071</v>
      </c>
      <c r="K144" s="28">
        <v>95.286537286992143</v>
      </c>
      <c r="L144" s="28">
        <v>93.612319516666659</v>
      </c>
      <c r="M144" s="28">
        <v>95.651917696742373</v>
      </c>
      <c r="N144" s="71">
        <v>97.5</v>
      </c>
      <c r="O144" s="177"/>
    </row>
    <row r="145" spans="1:15" ht="20.25" customHeight="1">
      <c r="A145" s="765"/>
      <c r="B145" s="29" t="s">
        <v>246</v>
      </c>
      <c r="C145" s="26">
        <v>5</v>
      </c>
      <c r="D145" s="22">
        <v>22</v>
      </c>
      <c r="E145" s="22">
        <v>22</v>
      </c>
      <c r="F145" s="26">
        <v>2</v>
      </c>
      <c r="G145" s="16">
        <v>96.085072911235414</v>
      </c>
      <c r="H145" s="16">
        <v>95.984287274984638</v>
      </c>
      <c r="I145" s="28">
        <v>95.243379613695595</v>
      </c>
      <c r="J145" s="28">
        <v>93.433904973170769</v>
      </c>
      <c r="K145" s="28">
        <v>97.920671227475964</v>
      </c>
      <c r="L145" s="28">
        <v>96.084096489999993</v>
      </c>
      <c r="M145" s="28">
        <v>96.725194936273695</v>
      </c>
      <c r="N145" s="71">
        <v>98</v>
      </c>
      <c r="O145" s="177"/>
    </row>
    <row r="146" spans="1:15" ht="20.25" customHeight="1" thickBot="1">
      <c r="A146" s="766"/>
      <c r="B146" s="35" t="s">
        <v>247</v>
      </c>
      <c r="C146" s="27">
        <v>5</v>
      </c>
      <c r="D146" s="24">
        <v>67</v>
      </c>
      <c r="E146" s="24">
        <v>63</v>
      </c>
      <c r="F146" s="27">
        <v>6</v>
      </c>
      <c r="G146" s="36">
        <v>95.150926358726039</v>
      </c>
      <c r="H146" s="36">
        <v>94.895711956553725</v>
      </c>
      <c r="I146" s="37">
        <v>95.456812472222069</v>
      </c>
      <c r="J146" s="37">
        <v>97.052354527016192</v>
      </c>
      <c r="K146" s="37">
        <v>93.668141694444444</v>
      </c>
      <c r="L146" s="37">
        <v>93.639367240789468</v>
      </c>
      <c r="M146" s="37">
        <v>94.334611440885368</v>
      </c>
      <c r="N146" s="73">
        <v>100</v>
      </c>
      <c r="O146" s="177"/>
    </row>
    <row r="147" spans="1:15" ht="20.25" customHeight="1" thickBot="1">
      <c r="A147" s="10"/>
      <c r="B147" s="42"/>
      <c r="C147" s="43"/>
      <c r="D147" s="43"/>
      <c r="E147" s="43"/>
      <c r="F147" s="43"/>
      <c r="G147" s="44"/>
      <c r="H147" s="44"/>
      <c r="I147" s="44"/>
      <c r="J147" s="44"/>
      <c r="K147" s="44"/>
      <c r="L147" s="44"/>
      <c r="M147" s="44"/>
    </row>
    <row r="148" spans="1:15" ht="20.25" customHeight="1">
      <c r="A148" s="772" t="s">
        <v>38</v>
      </c>
      <c r="B148" s="767" t="s">
        <v>39</v>
      </c>
      <c r="C148" s="767" t="s">
        <v>40</v>
      </c>
      <c r="D148" s="767" t="s">
        <v>41</v>
      </c>
      <c r="E148" s="767" t="s">
        <v>42</v>
      </c>
      <c r="F148" s="767" t="s">
        <v>43</v>
      </c>
      <c r="G148" s="769" t="s">
        <v>255</v>
      </c>
      <c r="H148" s="769" t="s">
        <v>256</v>
      </c>
      <c r="I148" s="767" t="s">
        <v>44</v>
      </c>
      <c r="J148" s="767"/>
      <c r="K148" s="767"/>
      <c r="L148" s="767"/>
      <c r="M148" s="767" t="s">
        <v>45</v>
      </c>
      <c r="N148" s="770" t="s">
        <v>259</v>
      </c>
      <c r="O148" s="175"/>
    </row>
    <row r="149" spans="1:15" ht="20.25" customHeight="1">
      <c r="A149" s="773"/>
      <c r="B149" s="768"/>
      <c r="C149" s="768"/>
      <c r="D149" s="768"/>
      <c r="E149" s="768"/>
      <c r="F149" s="768"/>
      <c r="G149" s="768"/>
      <c r="H149" s="768"/>
      <c r="I149" s="12" t="s">
        <v>46</v>
      </c>
      <c r="J149" s="12" t="s">
        <v>47</v>
      </c>
      <c r="K149" s="12" t="s">
        <v>48</v>
      </c>
      <c r="L149" s="12" t="s">
        <v>49</v>
      </c>
      <c r="M149" s="768"/>
      <c r="N149" s="771"/>
      <c r="O149" s="176"/>
    </row>
    <row r="150" spans="1:15" ht="20.25" customHeight="1">
      <c r="A150" s="773"/>
      <c r="B150" s="768"/>
      <c r="C150" s="768"/>
      <c r="D150" s="768"/>
      <c r="E150" s="768"/>
      <c r="F150" s="768"/>
      <c r="G150" s="12" t="s">
        <v>50</v>
      </c>
      <c r="H150" s="12" t="s">
        <v>50</v>
      </c>
      <c r="I150" s="12" t="s">
        <v>50</v>
      </c>
      <c r="J150" s="12" t="s">
        <v>50</v>
      </c>
      <c r="K150" s="12" t="s">
        <v>50</v>
      </c>
      <c r="L150" s="12" t="s">
        <v>50</v>
      </c>
      <c r="M150" s="12" t="s">
        <v>50</v>
      </c>
      <c r="N150" s="13" t="s">
        <v>258</v>
      </c>
      <c r="O150" s="176"/>
    </row>
    <row r="151" spans="1:15" ht="20.25" customHeight="1">
      <c r="A151" s="14" t="s">
        <v>51</v>
      </c>
      <c r="B151" s="15" t="s">
        <v>52</v>
      </c>
      <c r="C151" s="15" t="s">
        <v>52</v>
      </c>
      <c r="D151" s="15" t="s">
        <v>52</v>
      </c>
      <c r="E151" s="15" t="s">
        <v>52</v>
      </c>
      <c r="F151" s="15" t="s">
        <v>52</v>
      </c>
      <c r="G151" s="16">
        <v>92.805227541399248</v>
      </c>
      <c r="H151" s="16">
        <v>92.610765833051843</v>
      </c>
      <c r="I151" s="28">
        <v>93.281940267197939</v>
      </c>
      <c r="J151" s="28">
        <v>92.837130436796286</v>
      </c>
      <c r="K151" s="28">
        <v>93.851536812433409</v>
      </c>
      <c r="L151" s="28">
        <v>93.886672854545438</v>
      </c>
      <c r="M151" s="28">
        <v>92.197158768425538</v>
      </c>
      <c r="N151" s="71">
        <v>96.5</v>
      </c>
      <c r="O151" s="177"/>
    </row>
    <row r="152" spans="1:15" ht="20.25" customHeight="1">
      <c r="A152" s="765" t="s">
        <v>248</v>
      </c>
      <c r="B152" s="26" t="s">
        <v>249</v>
      </c>
      <c r="C152" s="26">
        <v>5</v>
      </c>
      <c r="D152" s="22">
        <v>191</v>
      </c>
      <c r="E152" s="22">
        <v>108</v>
      </c>
      <c r="F152" s="26">
        <v>2</v>
      </c>
      <c r="G152" s="16">
        <v>92.42586025795336</v>
      </c>
      <c r="H152" s="16">
        <v>92.171958166266705</v>
      </c>
      <c r="I152" s="28">
        <v>93.617489180599975</v>
      </c>
      <c r="J152" s="28">
        <v>93.54864565399987</v>
      </c>
      <c r="K152" s="28">
        <v>93.379757226276027</v>
      </c>
      <c r="L152" s="28">
        <v>94.502754654838711</v>
      </c>
      <c r="M152" s="28">
        <v>90.726427151933436</v>
      </c>
      <c r="N152" s="71">
        <v>97.25</v>
      </c>
      <c r="O152" s="177"/>
    </row>
    <row r="153" spans="1:15" ht="20.25" customHeight="1" thickBot="1">
      <c r="A153" s="766"/>
      <c r="B153" s="27" t="s">
        <v>250</v>
      </c>
      <c r="C153" s="27">
        <v>5</v>
      </c>
      <c r="D153" s="24">
        <v>155</v>
      </c>
      <c r="E153" s="24">
        <v>103</v>
      </c>
      <c r="F153" s="27">
        <v>1</v>
      </c>
      <c r="G153" s="36">
        <v>93.18610860748683</v>
      </c>
      <c r="H153" s="36">
        <v>93.0511669552493</v>
      </c>
      <c r="I153" s="37">
        <v>92.734237847257859</v>
      </c>
      <c r="J153" s="37">
        <v>91.519509664197599</v>
      </c>
      <c r="K153" s="37">
        <v>94.53089941650002</v>
      </c>
      <c r="L153" s="37">
        <v>93.09090052916666</v>
      </c>
      <c r="M153" s="37">
        <v>93.368096063240728</v>
      </c>
      <c r="N153" s="73">
        <v>95.75</v>
      </c>
      <c r="O153" s="177"/>
    </row>
    <row r="160" spans="1:15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</sheetData>
  <mergeCells count="74">
    <mergeCell ref="A1:N1"/>
    <mergeCell ref="A2:B2"/>
    <mergeCell ref="N3:N4"/>
    <mergeCell ref="A3:A5"/>
    <mergeCell ref="B3:B5"/>
    <mergeCell ref="C3:C5"/>
    <mergeCell ref="D3:D5"/>
    <mergeCell ref="E3:E5"/>
    <mergeCell ref="F3:F5"/>
    <mergeCell ref="G3:G4"/>
    <mergeCell ref="H3:H4"/>
    <mergeCell ref="I3:L3"/>
    <mergeCell ref="M3:M4"/>
    <mergeCell ref="N40:N41"/>
    <mergeCell ref="A7:A38"/>
    <mergeCell ref="A40:A42"/>
    <mergeCell ref="B40:B42"/>
    <mergeCell ref="C40:C42"/>
    <mergeCell ref="D40:D42"/>
    <mergeCell ref="E40:E42"/>
    <mergeCell ref="F40:F42"/>
    <mergeCell ref="G40:G41"/>
    <mergeCell ref="H40:H41"/>
    <mergeCell ref="I40:L40"/>
    <mergeCell ref="M40:M41"/>
    <mergeCell ref="N70:N71"/>
    <mergeCell ref="A44:A68"/>
    <mergeCell ref="A70:A72"/>
    <mergeCell ref="B70:B72"/>
    <mergeCell ref="C70:C72"/>
    <mergeCell ref="D70:D72"/>
    <mergeCell ref="E70:E72"/>
    <mergeCell ref="F70:F72"/>
    <mergeCell ref="G70:G71"/>
    <mergeCell ref="H70:H71"/>
    <mergeCell ref="I70:L70"/>
    <mergeCell ref="M70:M71"/>
    <mergeCell ref="N106:N107"/>
    <mergeCell ref="A74:A104"/>
    <mergeCell ref="A106:A108"/>
    <mergeCell ref="B106:B108"/>
    <mergeCell ref="C106:C108"/>
    <mergeCell ref="D106:D108"/>
    <mergeCell ref="E106:E108"/>
    <mergeCell ref="F106:F108"/>
    <mergeCell ref="G106:G107"/>
    <mergeCell ref="H106:H107"/>
    <mergeCell ref="I106:L106"/>
    <mergeCell ref="M106:M107"/>
    <mergeCell ref="N126:N127"/>
    <mergeCell ref="A110:A124"/>
    <mergeCell ref="A126:A128"/>
    <mergeCell ref="B126:B128"/>
    <mergeCell ref="C126:C128"/>
    <mergeCell ref="D126:D128"/>
    <mergeCell ref="E126:E128"/>
    <mergeCell ref="F126:F128"/>
    <mergeCell ref="G126:G127"/>
    <mergeCell ref="H126:H127"/>
    <mergeCell ref="I126:L126"/>
    <mergeCell ref="M126:M127"/>
    <mergeCell ref="M148:M149"/>
    <mergeCell ref="N148:N149"/>
    <mergeCell ref="A130:A146"/>
    <mergeCell ref="A148:A150"/>
    <mergeCell ref="B148:B150"/>
    <mergeCell ref="C148:C150"/>
    <mergeCell ref="D148:D150"/>
    <mergeCell ref="E148:E150"/>
    <mergeCell ref="A152:A153"/>
    <mergeCell ref="F148:F150"/>
    <mergeCell ref="G148:G149"/>
    <mergeCell ref="H148:H149"/>
    <mergeCell ref="I148:L14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  <rowBreaks count="5" manualBreakCount="5">
    <brk id="38" max="11" man="1"/>
    <brk id="68" max="16383" man="1"/>
    <brk id="104" max="11" man="1"/>
    <brk id="124" max="11" man="1"/>
    <brk id="147" max="11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Q267"/>
  <sheetViews>
    <sheetView zoomScaleNormal="100" zoomScaleSheetLayoutView="100" workbookViewId="0">
      <selection activeCell="L121" sqref="L121"/>
    </sheetView>
  </sheetViews>
  <sheetFormatPr defaultRowHeight="20.25" customHeight="1"/>
  <cols>
    <col min="1" max="1" width="5.625" style="8" bestFit="1" customWidth="1"/>
    <col min="2" max="2" width="7" style="8" bestFit="1" customWidth="1"/>
    <col min="3" max="3" width="5.5" style="8" bestFit="1" customWidth="1"/>
    <col min="4" max="4" width="7.5" style="8" bestFit="1" customWidth="1"/>
    <col min="5" max="5" width="7.25" style="8" bestFit="1" customWidth="1"/>
    <col min="6" max="6" width="7" style="8" customWidth="1"/>
    <col min="7" max="9" width="6.25" style="11" customWidth="1"/>
    <col min="10" max="12" width="6.25" style="8" customWidth="1"/>
    <col min="13" max="13" width="9" style="8"/>
    <col min="14" max="14" width="9" style="9"/>
    <col min="15" max="258" width="9" style="8"/>
    <col min="259" max="259" width="5.625" style="8" bestFit="1" customWidth="1"/>
    <col min="260" max="260" width="7" style="8" bestFit="1" customWidth="1"/>
    <col min="261" max="261" width="5.5" style="8" bestFit="1" customWidth="1"/>
    <col min="262" max="262" width="7.5" style="8" bestFit="1" customWidth="1"/>
    <col min="263" max="263" width="7.25" style="8" bestFit="1" customWidth="1"/>
    <col min="264" max="264" width="7" style="8" customWidth="1"/>
    <col min="265" max="270" width="6.25" style="8" customWidth="1"/>
    <col min="271" max="514" width="9" style="8"/>
    <col min="515" max="515" width="5.625" style="8" bestFit="1" customWidth="1"/>
    <col min="516" max="516" width="7" style="8" bestFit="1" customWidth="1"/>
    <col min="517" max="517" width="5.5" style="8" bestFit="1" customWidth="1"/>
    <col min="518" max="518" width="7.5" style="8" bestFit="1" customWidth="1"/>
    <col min="519" max="519" width="7.25" style="8" bestFit="1" customWidth="1"/>
    <col min="520" max="520" width="7" style="8" customWidth="1"/>
    <col min="521" max="526" width="6.25" style="8" customWidth="1"/>
    <col min="527" max="770" width="9" style="8"/>
    <col min="771" max="771" width="5.625" style="8" bestFit="1" customWidth="1"/>
    <col min="772" max="772" width="7" style="8" bestFit="1" customWidth="1"/>
    <col min="773" max="773" width="5.5" style="8" bestFit="1" customWidth="1"/>
    <col min="774" max="774" width="7.5" style="8" bestFit="1" customWidth="1"/>
    <col min="775" max="775" width="7.25" style="8" bestFit="1" customWidth="1"/>
    <col min="776" max="776" width="7" style="8" customWidth="1"/>
    <col min="777" max="782" width="6.25" style="8" customWidth="1"/>
    <col min="783" max="1026" width="9" style="8"/>
    <col min="1027" max="1027" width="5.625" style="8" bestFit="1" customWidth="1"/>
    <col min="1028" max="1028" width="7" style="8" bestFit="1" customWidth="1"/>
    <col min="1029" max="1029" width="5.5" style="8" bestFit="1" customWidth="1"/>
    <col min="1030" max="1030" width="7.5" style="8" bestFit="1" customWidth="1"/>
    <col min="1031" max="1031" width="7.25" style="8" bestFit="1" customWidth="1"/>
    <col min="1032" max="1032" width="7" style="8" customWidth="1"/>
    <col min="1033" max="1038" width="6.25" style="8" customWidth="1"/>
    <col min="1039" max="1282" width="9" style="8"/>
    <col min="1283" max="1283" width="5.625" style="8" bestFit="1" customWidth="1"/>
    <col min="1284" max="1284" width="7" style="8" bestFit="1" customWidth="1"/>
    <col min="1285" max="1285" width="5.5" style="8" bestFit="1" customWidth="1"/>
    <col min="1286" max="1286" width="7.5" style="8" bestFit="1" customWidth="1"/>
    <col min="1287" max="1287" width="7.25" style="8" bestFit="1" customWidth="1"/>
    <col min="1288" max="1288" width="7" style="8" customWidth="1"/>
    <col min="1289" max="1294" width="6.25" style="8" customWidth="1"/>
    <col min="1295" max="1538" width="9" style="8"/>
    <col min="1539" max="1539" width="5.625" style="8" bestFit="1" customWidth="1"/>
    <col min="1540" max="1540" width="7" style="8" bestFit="1" customWidth="1"/>
    <col min="1541" max="1541" width="5.5" style="8" bestFit="1" customWidth="1"/>
    <col min="1542" max="1542" width="7.5" style="8" bestFit="1" customWidth="1"/>
    <col min="1543" max="1543" width="7.25" style="8" bestFit="1" customWidth="1"/>
    <col min="1544" max="1544" width="7" style="8" customWidth="1"/>
    <col min="1545" max="1550" width="6.25" style="8" customWidth="1"/>
    <col min="1551" max="1794" width="9" style="8"/>
    <col min="1795" max="1795" width="5.625" style="8" bestFit="1" customWidth="1"/>
    <col min="1796" max="1796" width="7" style="8" bestFit="1" customWidth="1"/>
    <col min="1797" max="1797" width="5.5" style="8" bestFit="1" customWidth="1"/>
    <col min="1798" max="1798" width="7.5" style="8" bestFit="1" customWidth="1"/>
    <col min="1799" max="1799" width="7.25" style="8" bestFit="1" customWidth="1"/>
    <col min="1800" max="1800" width="7" style="8" customWidth="1"/>
    <col min="1801" max="1806" width="6.25" style="8" customWidth="1"/>
    <col min="1807" max="2050" width="9" style="8"/>
    <col min="2051" max="2051" width="5.625" style="8" bestFit="1" customWidth="1"/>
    <col min="2052" max="2052" width="7" style="8" bestFit="1" customWidth="1"/>
    <col min="2053" max="2053" width="5.5" style="8" bestFit="1" customWidth="1"/>
    <col min="2054" max="2054" width="7.5" style="8" bestFit="1" customWidth="1"/>
    <col min="2055" max="2055" width="7.25" style="8" bestFit="1" customWidth="1"/>
    <col min="2056" max="2056" width="7" style="8" customWidth="1"/>
    <col min="2057" max="2062" width="6.25" style="8" customWidth="1"/>
    <col min="2063" max="2306" width="9" style="8"/>
    <col min="2307" max="2307" width="5.625" style="8" bestFit="1" customWidth="1"/>
    <col min="2308" max="2308" width="7" style="8" bestFit="1" customWidth="1"/>
    <col min="2309" max="2309" width="5.5" style="8" bestFit="1" customWidth="1"/>
    <col min="2310" max="2310" width="7.5" style="8" bestFit="1" customWidth="1"/>
    <col min="2311" max="2311" width="7.25" style="8" bestFit="1" customWidth="1"/>
    <col min="2312" max="2312" width="7" style="8" customWidth="1"/>
    <col min="2313" max="2318" width="6.25" style="8" customWidth="1"/>
    <col min="2319" max="2562" width="9" style="8"/>
    <col min="2563" max="2563" width="5.625" style="8" bestFit="1" customWidth="1"/>
    <col min="2564" max="2564" width="7" style="8" bestFit="1" customWidth="1"/>
    <col min="2565" max="2565" width="5.5" style="8" bestFit="1" customWidth="1"/>
    <col min="2566" max="2566" width="7.5" style="8" bestFit="1" customWidth="1"/>
    <col min="2567" max="2567" width="7.25" style="8" bestFit="1" customWidth="1"/>
    <col min="2568" max="2568" width="7" style="8" customWidth="1"/>
    <col min="2569" max="2574" width="6.25" style="8" customWidth="1"/>
    <col min="2575" max="2818" width="9" style="8"/>
    <col min="2819" max="2819" width="5.625" style="8" bestFit="1" customWidth="1"/>
    <col min="2820" max="2820" width="7" style="8" bestFit="1" customWidth="1"/>
    <col min="2821" max="2821" width="5.5" style="8" bestFit="1" customWidth="1"/>
    <col min="2822" max="2822" width="7.5" style="8" bestFit="1" customWidth="1"/>
    <col min="2823" max="2823" width="7.25" style="8" bestFit="1" customWidth="1"/>
    <col min="2824" max="2824" width="7" style="8" customWidth="1"/>
    <col min="2825" max="2830" width="6.25" style="8" customWidth="1"/>
    <col min="2831" max="3074" width="9" style="8"/>
    <col min="3075" max="3075" width="5.625" style="8" bestFit="1" customWidth="1"/>
    <col min="3076" max="3076" width="7" style="8" bestFit="1" customWidth="1"/>
    <col min="3077" max="3077" width="5.5" style="8" bestFit="1" customWidth="1"/>
    <col min="3078" max="3078" width="7.5" style="8" bestFit="1" customWidth="1"/>
    <col min="3079" max="3079" width="7.25" style="8" bestFit="1" customWidth="1"/>
    <col min="3080" max="3080" width="7" style="8" customWidth="1"/>
    <col min="3081" max="3086" width="6.25" style="8" customWidth="1"/>
    <col min="3087" max="3330" width="9" style="8"/>
    <col min="3331" max="3331" width="5.625" style="8" bestFit="1" customWidth="1"/>
    <col min="3332" max="3332" width="7" style="8" bestFit="1" customWidth="1"/>
    <col min="3333" max="3333" width="5.5" style="8" bestFit="1" customWidth="1"/>
    <col min="3334" max="3334" width="7.5" style="8" bestFit="1" customWidth="1"/>
    <col min="3335" max="3335" width="7.25" style="8" bestFit="1" customWidth="1"/>
    <col min="3336" max="3336" width="7" style="8" customWidth="1"/>
    <col min="3337" max="3342" width="6.25" style="8" customWidth="1"/>
    <col min="3343" max="3586" width="9" style="8"/>
    <col min="3587" max="3587" width="5.625" style="8" bestFit="1" customWidth="1"/>
    <col min="3588" max="3588" width="7" style="8" bestFit="1" customWidth="1"/>
    <col min="3589" max="3589" width="5.5" style="8" bestFit="1" customWidth="1"/>
    <col min="3590" max="3590" width="7.5" style="8" bestFit="1" customWidth="1"/>
    <col min="3591" max="3591" width="7.25" style="8" bestFit="1" customWidth="1"/>
    <col min="3592" max="3592" width="7" style="8" customWidth="1"/>
    <col min="3593" max="3598" width="6.25" style="8" customWidth="1"/>
    <col min="3599" max="3842" width="9" style="8"/>
    <col min="3843" max="3843" width="5.625" style="8" bestFit="1" customWidth="1"/>
    <col min="3844" max="3844" width="7" style="8" bestFit="1" customWidth="1"/>
    <col min="3845" max="3845" width="5.5" style="8" bestFit="1" customWidth="1"/>
    <col min="3846" max="3846" width="7.5" style="8" bestFit="1" customWidth="1"/>
    <col min="3847" max="3847" width="7.25" style="8" bestFit="1" customWidth="1"/>
    <col min="3848" max="3848" width="7" style="8" customWidth="1"/>
    <col min="3849" max="3854" width="6.25" style="8" customWidth="1"/>
    <col min="3855" max="4098" width="9" style="8"/>
    <col min="4099" max="4099" width="5.625" style="8" bestFit="1" customWidth="1"/>
    <col min="4100" max="4100" width="7" style="8" bestFit="1" customWidth="1"/>
    <col min="4101" max="4101" width="5.5" style="8" bestFit="1" customWidth="1"/>
    <col min="4102" max="4102" width="7.5" style="8" bestFit="1" customWidth="1"/>
    <col min="4103" max="4103" width="7.25" style="8" bestFit="1" customWidth="1"/>
    <col min="4104" max="4104" width="7" style="8" customWidth="1"/>
    <col min="4105" max="4110" width="6.25" style="8" customWidth="1"/>
    <col min="4111" max="4354" width="9" style="8"/>
    <col min="4355" max="4355" width="5.625" style="8" bestFit="1" customWidth="1"/>
    <col min="4356" max="4356" width="7" style="8" bestFit="1" customWidth="1"/>
    <col min="4357" max="4357" width="5.5" style="8" bestFit="1" customWidth="1"/>
    <col min="4358" max="4358" width="7.5" style="8" bestFit="1" customWidth="1"/>
    <col min="4359" max="4359" width="7.25" style="8" bestFit="1" customWidth="1"/>
    <col min="4360" max="4360" width="7" style="8" customWidth="1"/>
    <col min="4361" max="4366" width="6.25" style="8" customWidth="1"/>
    <col min="4367" max="4610" width="9" style="8"/>
    <col min="4611" max="4611" width="5.625" style="8" bestFit="1" customWidth="1"/>
    <col min="4612" max="4612" width="7" style="8" bestFit="1" customWidth="1"/>
    <col min="4613" max="4613" width="5.5" style="8" bestFit="1" customWidth="1"/>
    <col min="4614" max="4614" width="7.5" style="8" bestFit="1" customWidth="1"/>
    <col min="4615" max="4615" width="7.25" style="8" bestFit="1" customWidth="1"/>
    <col min="4616" max="4616" width="7" style="8" customWidth="1"/>
    <col min="4617" max="4622" width="6.25" style="8" customWidth="1"/>
    <col min="4623" max="4866" width="9" style="8"/>
    <col min="4867" max="4867" width="5.625" style="8" bestFit="1" customWidth="1"/>
    <col min="4868" max="4868" width="7" style="8" bestFit="1" customWidth="1"/>
    <col min="4869" max="4869" width="5.5" style="8" bestFit="1" customWidth="1"/>
    <col min="4870" max="4870" width="7.5" style="8" bestFit="1" customWidth="1"/>
    <col min="4871" max="4871" width="7.25" style="8" bestFit="1" customWidth="1"/>
    <col min="4872" max="4872" width="7" style="8" customWidth="1"/>
    <col min="4873" max="4878" width="6.25" style="8" customWidth="1"/>
    <col min="4879" max="5122" width="9" style="8"/>
    <col min="5123" max="5123" width="5.625" style="8" bestFit="1" customWidth="1"/>
    <col min="5124" max="5124" width="7" style="8" bestFit="1" customWidth="1"/>
    <col min="5125" max="5125" width="5.5" style="8" bestFit="1" customWidth="1"/>
    <col min="5126" max="5126" width="7.5" style="8" bestFit="1" customWidth="1"/>
    <col min="5127" max="5127" width="7.25" style="8" bestFit="1" customWidth="1"/>
    <col min="5128" max="5128" width="7" style="8" customWidth="1"/>
    <col min="5129" max="5134" width="6.25" style="8" customWidth="1"/>
    <col min="5135" max="5378" width="9" style="8"/>
    <col min="5379" max="5379" width="5.625" style="8" bestFit="1" customWidth="1"/>
    <col min="5380" max="5380" width="7" style="8" bestFit="1" customWidth="1"/>
    <col min="5381" max="5381" width="5.5" style="8" bestFit="1" customWidth="1"/>
    <col min="5382" max="5382" width="7.5" style="8" bestFit="1" customWidth="1"/>
    <col min="5383" max="5383" width="7.25" style="8" bestFit="1" customWidth="1"/>
    <col min="5384" max="5384" width="7" style="8" customWidth="1"/>
    <col min="5385" max="5390" width="6.25" style="8" customWidth="1"/>
    <col min="5391" max="5634" width="9" style="8"/>
    <col min="5635" max="5635" width="5.625" style="8" bestFit="1" customWidth="1"/>
    <col min="5636" max="5636" width="7" style="8" bestFit="1" customWidth="1"/>
    <col min="5637" max="5637" width="5.5" style="8" bestFit="1" customWidth="1"/>
    <col min="5638" max="5638" width="7.5" style="8" bestFit="1" customWidth="1"/>
    <col min="5639" max="5639" width="7.25" style="8" bestFit="1" customWidth="1"/>
    <col min="5640" max="5640" width="7" style="8" customWidth="1"/>
    <col min="5641" max="5646" width="6.25" style="8" customWidth="1"/>
    <col min="5647" max="5890" width="9" style="8"/>
    <col min="5891" max="5891" width="5.625" style="8" bestFit="1" customWidth="1"/>
    <col min="5892" max="5892" width="7" style="8" bestFit="1" customWidth="1"/>
    <col min="5893" max="5893" width="5.5" style="8" bestFit="1" customWidth="1"/>
    <col min="5894" max="5894" width="7.5" style="8" bestFit="1" customWidth="1"/>
    <col min="5895" max="5895" width="7.25" style="8" bestFit="1" customWidth="1"/>
    <col min="5896" max="5896" width="7" style="8" customWidth="1"/>
    <col min="5897" max="5902" width="6.25" style="8" customWidth="1"/>
    <col min="5903" max="6146" width="9" style="8"/>
    <col min="6147" max="6147" width="5.625" style="8" bestFit="1" customWidth="1"/>
    <col min="6148" max="6148" width="7" style="8" bestFit="1" customWidth="1"/>
    <col min="6149" max="6149" width="5.5" style="8" bestFit="1" customWidth="1"/>
    <col min="6150" max="6150" width="7.5" style="8" bestFit="1" customWidth="1"/>
    <col min="6151" max="6151" width="7.25" style="8" bestFit="1" customWidth="1"/>
    <col min="6152" max="6152" width="7" style="8" customWidth="1"/>
    <col min="6153" max="6158" width="6.25" style="8" customWidth="1"/>
    <col min="6159" max="6402" width="9" style="8"/>
    <col min="6403" max="6403" width="5.625" style="8" bestFit="1" customWidth="1"/>
    <col min="6404" max="6404" width="7" style="8" bestFit="1" customWidth="1"/>
    <col min="6405" max="6405" width="5.5" style="8" bestFit="1" customWidth="1"/>
    <col min="6406" max="6406" width="7.5" style="8" bestFit="1" customWidth="1"/>
    <col min="6407" max="6407" width="7.25" style="8" bestFit="1" customWidth="1"/>
    <col min="6408" max="6408" width="7" style="8" customWidth="1"/>
    <col min="6409" max="6414" width="6.25" style="8" customWidth="1"/>
    <col min="6415" max="6658" width="9" style="8"/>
    <col min="6659" max="6659" width="5.625" style="8" bestFit="1" customWidth="1"/>
    <col min="6660" max="6660" width="7" style="8" bestFit="1" customWidth="1"/>
    <col min="6661" max="6661" width="5.5" style="8" bestFit="1" customWidth="1"/>
    <col min="6662" max="6662" width="7.5" style="8" bestFit="1" customWidth="1"/>
    <col min="6663" max="6663" width="7.25" style="8" bestFit="1" customWidth="1"/>
    <col min="6664" max="6664" width="7" style="8" customWidth="1"/>
    <col min="6665" max="6670" width="6.25" style="8" customWidth="1"/>
    <col min="6671" max="6914" width="9" style="8"/>
    <col min="6915" max="6915" width="5.625" style="8" bestFit="1" customWidth="1"/>
    <col min="6916" max="6916" width="7" style="8" bestFit="1" customWidth="1"/>
    <col min="6917" max="6917" width="5.5" style="8" bestFit="1" customWidth="1"/>
    <col min="6918" max="6918" width="7.5" style="8" bestFit="1" customWidth="1"/>
    <col min="6919" max="6919" width="7.25" style="8" bestFit="1" customWidth="1"/>
    <col min="6920" max="6920" width="7" style="8" customWidth="1"/>
    <col min="6921" max="6926" width="6.25" style="8" customWidth="1"/>
    <col min="6927" max="7170" width="9" style="8"/>
    <col min="7171" max="7171" width="5.625" style="8" bestFit="1" customWidth="1"/>
    <col min="7172" max="7172" width="7" style="8" bestFit="1" customWidth="1"/>
    <col min="7173" max="7173" width="5.5" style="8" bestFit="1" customWidth="1"/>
    <col min="7174" max="7174" width="7.5" style="8" bestFit="1" customWidth="1"/>
    <col min="7175" max="7175" width="7.25" style="8" bestFit="1" customWidth="1"/>
    <col min="7176" max="7176" width="7" style="8" customWidth="1"/>
    <col min="7177" max="7182" width="6.25" style="8" customWidth="1"/>
    <col min="7183" max="7426" width="9" style="8"/>
    <col min="7427" max="7427" width="5.625" style="8" bestFit="1" customWidth="1"/>
    <col min="7428" max="7428" width="7" style="8" bestFit="1" customWidth="1"/>
    <col min="7429" max="7429" width="5.5" style="8" bestFit="1" customWidth="1"/>
    <col min="7430" max="7430" width="7.5" style="8" bestFit="1" customWidth="1"/>
    <col min="7431" max="7431" width="7.25" style="8" bestFit="1" customWidth="1"/>
    <col min="7432" max="7432" width="7" style="8" customWidth="1"/>
    <col min="7433" max="7438" width="6.25" style="8" customWidth="1"/>
    <col min="7439" max="7682" width="9" style="8"/>
    <col min="7683" max="7683" width="5.625" style="8" bestFit="1" customWidth="1"/>
    <col min="7684" max="7684" width="7" style="8" bestFit="1" customWidth="1"/>
    <col min="7685" max="7685" width="5.5" style="8" bestFit="1" customWidth="1"/>
    <col min="7686" max="7686" width="7.5" style="8" bestFit="1" customWidth="1"/>
    <col min="7687" max="7687" width="7.25" style="8" bestFit="1" customWidth="1"/>
    <col min="7688" max="7688" width="7" style="8" customWidth="1"/>
    <col min="7689" max="7694" width="6.25" style="8" customWidth="1"/>
    <col min="7695" max="7938" width="9" style="8"/>
    <col min="7939" max="7939" width="5.625" style="8" bestFit="1" customWidth="1"/>
    <col min="7940" max="7940" width="7" style="8" bestFit="1" customWidth="1"/>
    <col min="7941" max="7941" width="5.5" style="8" bestFit="1" customWidth="1"/>
    <col min="7942" max="7942" width="7.5" style="8" bestFit="1" customWidth="1"/>
    <col min="7943" max="7943" width="7.25" style="8" bestFit="1" customWidth="1"/>
    <col min="7944" max="7944" width="7" style="8" customWidth="1"/>
    <col min="7945" max="7950" width="6.25" style="8" customWidth="1"/>
    <col min="7951" max="8194" width="9" style="8"/>
    <col min="8195" max="8195" width="5.625" style="8" bestFit="1" customWidth="1"/>
    <col min="8196" max="8196" width="7" style="8" bestFit="1" customWidth="1"/>
    <col min="8197" max="8197" width="5.5" style="8" bestFit="1" customWidth="1"/>
    <col min="8198" max="8198" width="7.5" style="8" bestFit="1" customWidth="1"/>
    <col min="8199" max="8199" width="7.25" style="8" bestFit="1" customWidth="1"/>
    <col min="8200" max="8200" width="7" style="8" customWidth="1"/>
    <col min="8201" max="8206" width="6.25" style="8" customWidth="1"/>
    <col min="8207" max="8450" width="9" style="8"/>
    <col min="8451" max="8451" width="5.625" style="8" bestFit="1" customWidth="1"/>
    <col min="8452" max="8452" width="7" style="8" bestFit="1" customWidth="1"/>
    <col min="8453" max="8453" width="5.5" style="8" bestFit="1" customWidth="1"/>
    <col min="8454" max="8454" width="7.5" style="8" bestFit="1" customWidth="1"/>
    <col min="8455" max="8455" width="7.25" style="8" bestFit="1" customWidth="1"/>
    <col min="8456" max="8456" width="7" style="8" customWidth="1"/>
    <col min="8457" max="8462" width="6.25" style="8" customWidth="1"/>
    <col min="8463" max="8706" width="9" style="8"/>
    <col min="8707" max="8707" width="5.625" style="8" bestFit="1" customWidth="1"/>
    <col min="8708" max="8708" width="7" style="8" bestFit="1" customWidth="1"/>
    <col min="8709" max="8709" width="5.5" style="8" bestFit="1" customWidth="1"/>
    <col min="8710" max="8710" width="7.5" style="8" bestFit="1" customWidth="1"/>
    <col min="8711" max="8711" width="7.25" style="8" bestFit="1" customWidth="1"/>
    <col min="8712" max="8712" width="7" style="8" customWidth="1"/>
    <col min="8713" max="8718" width="6.25" style="8" customWidth="1"/>
    <col min="8719" max="8962" width="9" style="8"/>
    <col min="8963" max="8963" width="5.625" style="8" bestFit="1" customWidth="1"/>
    <col min="8964" max="8964" width="7" style="8" bestFit="1" customWidth="1"/>
    <col min="8965" max="8965" width="5.5" style="8" bestFit="1" customWidth="1"/>
    <col min="8966" max="8966" width="7.5" style="8" bestFit="1" customWidth="1"/>
    <col min="8967" max="8967" width="7.25" style="8" bestFit="1" customWidth="1"/>
    <col min="8968" max="8968" width="7" style="8" customWidth="1"/>
    <col min="8969" max="8974" width="6.25" style="8" customWidth="1"/>
    <col min="8975" max="9218" width="9" style="8"/>
    <col min="9219" max="9219" width="5.625" style="8" bestFit="1" customWidth="1"/>
    <col min="9220" max="9220" width="7" style="8" bestFit="1" customWidth="1"/>
    <col min="9221" max="9221" width="5.5" style="8" bestFit="1" customWidth="1"/>
    <col min="9222" max="9222" width="7.5" style="8" bestFit="1" customWidth="1"/>
    <col min="9223" max="9223" width="7.25" style="8" bestFit="1" customWidth="1"/>
    <col min="9224" max="9224" width="7" style="8" customWidth="1"/>
    <col min="9225" max="9230" width="6.25" style="8" customWidth="1"/>
    <col min="9231" max="9474" width="9" style="8"/>
    <col min="9475" max="9475" width="5.625" style="8" bestFit="1" customWidth="1"/>
    <col min="9476" max="9476" width="7" style="8" bestFit="1" customWidth="1"/>
    <col min="9477" max="9477" width="5.5" style="8" bestFit="1" customWidth="1"/>
    <col min="9478" max="9478" width="7.5" style="8" bestFit="1" customWidth="1"/>
    <col min="9479" max="9479" width="7.25" style="8" bestFit="1" customWidth="1"/>
    <col min="9480" max="9480" width="7" style="8" customWidth="1"/>
    <col min="9481" max="9486" width="6.25" style="8" customWidth="1"/>
    <col min="9487" max="9730" width="9" style="8"/>
    <col min="9731" max="9731" width="5.625" style="8" bestFit="1" customWidth="1"/>
    <col min="9732" max="9732" width="7" style="8" bestFit="1" customWidth="1"/>
    <col min="9733" max="9733" width="5.5" style="8" bestFit="1" customWidth="1"/>
    <col min="9734" max="9734" width="7.5" style="8" bestFit="1" customWidth="1"/>
    <col min="9735" max="9735" width="7.25" style="8" bestFit="1" customWidth="1"/>
    <col min="9736" max="9736" width="7" style="8" customWidth="1"/>
    <col min="9737" max="9742" width="6.25" style="8" customWidth="1"/>
    <col min="9743" max="9986" width="9" style="8"/>
    <col min="9987" max="9987" width="5.625" style="8" bestFit="1" customWidth="1"/>
    <col min="9988" max="9988" width="7" style="8" bestFit="1" customWidth="1"/>
    <col min="9989" max="9989" width="5.5" style="8" bestFit="1" customWidth="1"/>
    <col min="9990" max="9990" width="7.5" style="8" bestFit="1" customWidth="1"/>
    <col min="9991" max="9991" width="7.25" style="8" bestFit="1" customWidth="1"/>
    <col min="9992" max="9992" width="7" style="8" customWidth="1"/>
    <col min="9993" max="9998" width="6.25" style="8" customWidth="1"/>
    <col min="9999" max="10242" width="9" style="8"/>
    <col min="10243" max="10243" width="5.625" style="8" bestFit="1" customWidth="1"/>
    <col min="10244" max="10244" width="7" style="8" bestFit="1" customWidth="1"/>
    <col min="10245" max="10245" width="5.5" style="8" bestFit="1" customWidth="1"/>
    <col min="10246" max="10246" width="7.5" style="8" bestFit="1" customWidth="1"/>
    <col min="10247" max="10247" width="7.25" style="8" bestFit="1" customWidth="1"/>
    <col min="10248" max="10248" width="7" style="8" customWidth="1"/>
    <col min="10249" max="10254" width="6.25" style="8" customWidth="1"/>
    <col min="10255" max="10498" width="9" style="8"/>
    <col min="10499" max="10499" width="5.625" style="8" bestFit="1" customWidth="1"/>
    <col min="10500" max="10500" width="7" style="8" bestFit="1" customWidth="1"/>
    <col min="10501" max="10501" width="5.5" style="8" bestFit="1" customWidth="1"/>
    <col min="10502" max="10502" width="7.5" style="8" bestFit="1" customWidth="1"/>
    <col min="10503" max="10503" width="7.25" style="8" bestFit="1" customWidth="1"/>
    <col min="10504" max="10504" width="7" style="8" customWidth="1"/>
    <col min="10505" max="10510" width="6.25" style="8" customWidth="1"/>
    <col min="10511" max="10754" width="9" style="8"/>
    <col min="10755" max="10755" width="5.625" style="8" bestFit="1" customWidth="1"/>
    <col min="10756" max="10756" width="7" style="8" bestFit="1" customWidth="1"/>
    <col min="10757" max="10757" width="5.5" style="8" bestFit="1" customWidth="1"/>
    <col min="10758" max="10758" width="7.5" style="8" bestFit="1" customWidth="1"/>
    <col min="10759" max="10759" width="7.25" style="8" bestFit="1" customWidth="1"/>
    <col min="10760" max="10760" width="7" style="8" customWidth="1"/>
    <col min="10761" max="10766" width="6.25" style="8" customWidth="1"/>
    <col min="10767" max="11010" width="9" style="8"/>
    <col min="11011" max="11011" width="5.625" style="8" bestFit="1" customWidth="1"/>
    <col min="11012" max="11012" width="7" style="8" bestFit="1" customWidth="1"/>
    <col min="11013" max="11013" width="5.5" style="8" bestFit="1" customWidth="1"/>
    <col min="11014" max="11014" width="7.5" style="8" bestFit="1" customWidth="1"/>
    <col min="11015" max="11015" width="7.25" style="8" bestFit="1" customWidth="1"/>
    <col min="11016" max="11016" width="7" style="8" customWidth="1"/>
    <col min="11017" max="11022" width="6.25" style="8" customWidth="1"/>
    <col min="11023" max="11266" width="9" style="8"/>
    <col min="11267" max="11267" width="5.625" style="8" bestFit="1" customWidth="1"/>
    <col min="11268" max="11268" width="7" style="8" bestFit="1" customWidth="1"/>
    <col min="11269" max="11269" width="5.5" style="8" bestFit="1" customWidth="1"/>
    <col min="11270" max="11270" width="7.5" style="8" bestFit="1" customWidth="1"/>
    <col min="11271" max="11271" width="7.25" style="8" bestFit="1" customWidth="1"/>
    <col min="11272" max="11272" width="7" style="8" customWidth="1"/>
    <col min="11273" max="11278" width="6.25" style="8" customWidth="1"/>
    <col min="11279" max="11522" width="9" style="8"/>
    <col min="11523" max="11523" width="5.625" style="8" bestFit="1" customWidth="1"/>
    <col min="11524" max="11524" width="7" style="8" bestFit="1" customWidth="1"/>
    <col min="11525" max="11525" width="5.5" style="8" bestFit="1" customWidth="1"/>
    <col min="11526" max="11526" width="7.5" style="8" bestFit="1" customWidth="1"/>
    <col min="11527" max="11527" width="7.25" style="8" bestFit="1" customWidth="1"/>
    <col min="11528" max="11528" width="7" style="8" customWidth="1"/>
    <col min="11529" max="11534" width="6.25" style="8" customWidth="1"/>
    <col min="11535" max="11778" width="9" style="8"/>
    <col min="11779" max="11779" width="5.625" style="8" bestFit="1" customWidth="1"/>
    <col min="11780" max="11780" width="7" style="8" bestFit="1" customWidth="1"/>
    <col min="11781" max="11781" width="5.5" style="8" bestFit="1" customWidth="1"/>
    <col min="11782" max="11782" width="7.5" style="8" bestFit="1" customWidth="1"/>
    <col min="11783" max="11783" width="7.25" style="8" bestFit="1" customWidth="1"/>
    <col min="11784" max="11784" width="7" style="8" customWidth="1"/>
    <col min="11785" max="11790" width="6.25" style="8" customWidth="1"/>
    <col min="11791" max="12034" width="9" style="8"/>
    <col min="12035" max="12035" width="5.625" style="8" bestFit="1" customWidth="1"/>
    <col min="12036" max="12036" width="7" style="8" bestFit="1" customWidth="1"/>
    <col min="12037" max="12037" width="5.5" style="8" bestFit="1" customWidth="1"/>
    <col min="12038" max="12038" width="7.5" style="8" bestFit="1" customWidth="1"/>
    <col min="12039" max="12039" width="7.25" style="8" bestFit="1" customWidth="1"/>
    <col min="12040" max="12040" width="7" style="8" customWidth="1"/>
    <col min="12041" max="12046" width="6.25" style="8" customWidth="1"/>
    <col min="12047" max="12290" width="9" style="8"/>
    <col min="12291" max="12291" width="5.625" style="8" bestFit="1" customWidth="1"/>
    <col min="12292" max="12292" width="7" style="8" bestFit="1" customWidth="1"/>
    <col min="12293" max="12293" width="5.5" style="8" bestFit="1" customWidth="1"/>
    <col min="12294" max="12294" width="7.5" style="8" bestFit="1" customWidth="1"/>
    <col min="12295" max="12295" width="7.25" style="8" bestFit="1" customWidth="1"/>
    <col min="12296" max="12296" width="7" style="8" customWidth="1"/>
    <col min="12297" max="12302" width="6.25" style="8" customWidth="1"/>
    <col min="12303" max="12546" width="9" style="8"/>
    <col min="12547" max="12547" width="5.625" style="8" bestFit="1" customWidth="1"/>
    <col min="12548" max="12548" width="7" style="8" bestFit="1" customWidth="1"/>
    <col min="12549" max="12549" width="5.5" style="8" bestFit="1" customWidth="1"/>
    <col min="12550" max="12550" width="7.5" style="8" bestFit="1" customWidth="1"/>
    <col min="12551" max="12551" width="7.25" style="8" bestFit="1" customWidth="1"/>
    <col min="12552" max="12552" width="7" style="8" customWidth="1"/>
    <col min="12553" max="12558" width="6.25" style="8" customWidth="1"/>
    <col min="12559" max="12802" width="9" style="8"/>
    <col min="12803" max="12803" width="5.625" style="8" bestFit="1" customWidth="1"/>
    <col min="12804" max="12804" width="7" style="8" bestFit="1" customWidth="1"/>
    <col min="12805" max="12805" width="5.5" style="8" bestFit="1" customWidth="1"/>
    <col min="12806" max="12806" width="7.5" style="8" bestFit="1" customWidth="1"/>
    <col min="12807" max="12807" width="7.25" style="8" bestFit="1" customWidth="1"/>
    <col min="12808" max="12808" width="7" style="8" customWidth="1"/>
    <col min="12809" max="12814" width="6.25" style="8" customWidth="1"/>
    <col min="12815" max="13058" width="9" style="8"/>
    <col min="13059" max="13059" width="5.625" style="8" bestFit="1" customWidth="1"/>
    <col min="13060" max="13060" width="7" style="8" bestFit="1" customWidth="1"/>
    <col min="13061" max="13061" width="5.5" style="8" bestFit="1" customWidth="1"/>
    <col min="13062" max="13062" width="7.5" style="8" bestFit="1" customWidth="1"/>
    <col min="13063" max="13063" width="7.25" style="8" bestFit="1" customWidth="1"/>
    <col min="13064" max="13064" width="7" style="8" customWidth="1"/>
    <col min="13065" max="13070" width="6.25" style="8" customWidth="1"/>
    <col min="13071" max="13314" width="9" style="8"/>
    <col min="13315" max="13315" width="5.625" style="8" bestFit="1" customWidth="1"/>
    <col min="13316" max="13316" width="7" style="8" bestFit="1" customWidth="1"/>
    <col min="13317" max="13317" width="5.5" style="8" bestFit="1" customWidth="1"/>
    <col min="13318" max="13318" width="7.5" style="8" bestFit="1" customWidth="1"/>
    <col min="13319" max="13319" width="7.25" style="8" bestFit="1" customWidth="1"/>
    <col min="13320" max="13320" width="7" style="8" customWidth="1"/>
    <col min="13321" max="13326" width="6.25" style="8" customWidth="1"/>
    <col min="13327" max="13570" width="9" style="8"/>
    <col min="13571" max="13571" width="5.625" style="8" bestFit="1" customWidth="1"/>
    <col min="13572" max="13572" width="7" style="8" bestFit="1" customWidth="1"/>
    <col min="13573" max="13573" width="5.5" style="8" bestFit="1" customWidth="1"/>
    <col min="13574" max="13574" width="7.5" style="8" bestFit="1" customWidth="1"/>
    <col min="13575" max="13575" width="7.25" style="8" bestFit="1" customWidth="1"/>
    <col min="13576" max="13576" width="7" style="8" customWidth="1"/>
    <col min="13577" max="13582" width="6.25" style="8" customWidth="1"/>
    <col min="13583" max="13826" width="9" style="8"/>
    <col min="13827" max="13827" width="5.625" style="8" bestFit="1" customWidth="1"/>
    <col min="13828" max="13828" width="7" style="8" bestFit="1" customWidth="1"/>
    <col min="13829" max="13829" width="5.5" style="8" bestFit="1" customWidth="1"/>
    <col min="13830" max="13830" width="7.5" style="8" bestFit="1" customWidth="1"/>
    <col min="13831" max="13831" width="7.25" style="8" bestFit="1" customWidth="1"/>
    <col min="13832" max="13832" width="7" style="8" customWidth="1"/>
    <col min="13833" max="13838" width="6.25" style="8" customWidth="1"/>
    <col min="13839" max="14082" width="9" style="8"/>
    <col min="14083" max="14083" width="5.625" style="8" bestFit="1" customWidth="1"/>
    <col min="14084" max="14084" width="7" style="8" bestFit="1" customWidth="1"/>
    <col min="14085" max="14085" width="5.5" style="8" bestFit="1" customWidth="1"/>
    <col min="14086" max="14086" width="7.5" style="8" bestFit="1" customWidth="1"/>
    <col min="14087" max="14087" width="7.25" style="8" bestFit="1" customWidth="1"/>
    <col min="14088" max="14088" width="7" style="8" customWidth="1"/>
    <col min="14089" max="14094" width="6.25" style="8" customWidth="1"/>
    <col min="14095" max="14338" width="9" style="8"/>
    <col min="14339" max="14339" width="5.625" style="8" bestFit="1" customWidth="1"/>
    <col min="14340" max="14340" width="7" style="8" bestFit="1" customWidth="1"/>
    <col min="14341" max="14341" width="5.5" style="8" bestFit="1" customWidth="1"/>
    <col min="14342" max="14342" width="7.5" style="8" bestFit="1" customWidth="1"/>
    <col min="14343" max="14343" width="7.25" style="8" bestFit="1" customWidth="1"/>
    <col min="14344" max="14344" width="7" style="8" customWidth="1"/>
    <col min="14345" max="14350" width="6.25" style="8" customWidth="1"/>
    <col min="14351" max="14594" width="9" style="8"/>
    <col min="14595" max="14595" width="5.625" style="8" bestFit="1" customWidth="1"/>
    <col min="14596" max="14596" width="7" style="8" bestFit="1" customWidth="1"/>
    <col min="14597" max="14597" width="5.5" style="8" bestFit="1" customWidth="1"/>
    <col min="14598" max="14598" width="7.5" style="8" bestFit="1" customWidth="1"/>
    <col min="14599" max="14599" width="7.25" style="8" bestFit="1" customWidth="1"/>
    <col min="14600" max="14600" width="7" style="8" customWidth="1"/>
    <col min="14601" max="14606" width="6.25" style="8" customWidth="1"/>
    <col min="14607" max="14850" width="9" style="8"/>
    <col min="14851" max="14851" width="5.625" style="8" bestFit="1" customWidth="1"/>
    <col min="14852" max="14852" width="7" style="8" bestFit="1" customWidth="1"/>
    <col min="14853" max="14853" width="5.5" style="8" bestFit="1" customWidth="1"/>
    <col min="14854" max="14854" width="7.5" style="8" bestFit="1" customWidth="1"/>
    <col min="14855" max="14855" width="7.25" style="8" bestFit="1" customWidth="1"/>
    <col min="14856" max="14856" width="7" style="8" customWidth="1"/>
    <col min="14857" max="14862" width="6.25" style="8" customWidth="1"/>
    <col min="14863" max="15106" width="9" style="8"/>
    <col min="15107" max="15107" width="5.625" style="8" bestFit="1" customWidth="1"/>
    <col min="15108" max="15108" width="7" style="8" bestFit="1" customWidth="1"/>
    <col min="15109" max="15109" width="5.5" style="8" bestFit="1" customWidth="1"/>
    <col min="15110" max="15110" width="7.5" style="8" bestFit="1" customWidth="1"/>
    <col min="15111" max="15111" width="7.25" style="8" bestFit="1" customWidth="1"/>
    <col min="15112" max="15112" width="7" style="8" customWidth="1"/>
    <col min="15113" max="15118" width="6.25" style="8" customWidth="1"/>
    <col min="15119" max="15362" width="9" style="8"/>
    <col min="15363" max="15363" width="5.625" style="8" bestFit="1" customWidth="1"/>
    <col min="15364" max="15364" width="7" style="8" bestFit="1" customWidth="1"/>
    <col min="15365" max="15365" width="5.5" style="8" bestFit="1" customWidth="1"/>
    <col min="15366" max="15366" width="7.5" style="8" bestFit="1" customWidth="1"/>
    <col min="15367" max="15367" width="7.25" style="8" bestFit="1" customWidth="1"/>
    <col min="15368" max="15368" width="7" style="8" customWidth="1"/>
    <col min="15369" max="15374" width="6.25" style="8" customWidth="1"/>
    <col min="15375" max="15618" width="9" style="8"/>
    <col min="15619" max="15619" width="5.625" style="8" bestFit="1" customWidth="1"/>
    <col min="15620" max="15620" width="7" style="8" bestFit="1" customWidth="1"/>
    <col min="15621" max="15621" width="5.5" style="8" bestFit="1" customWidth="1"/>
    <col min="15622" max="15622" width="7.5" style="8" bestFit="1" customWidth="1"/>
    <col min="15623" max="15623" width="7.25" style="8" bestFit="1" customWidth="1"/>
    <col min="15624" max="15624" width="7" style="8" customWidth="1"/>
    <col min="15625" max="15630" width="6.25" style="8" customWidth="1"/>
    <col min="15631" max="15874" width="9" style="8"/>
    <col min="15875" max="15875" width="5.625" style="8" bestFit="1" customWidth="1"/>
    <col min="15876" max="15876" width="7" style="8" bestFit="1" customWidth="1"/>
    <col min="15877" max="15877" width="5.5" style="8" bestFit="1" customWidth="1"/>
    <col min="15878" max="15878" width="7.5" style="8" bestFit="1" customWidth="1"/>
    <col min="15879" max="15879" width="7.25" style="8" bestFit="1" customWidth="1"/>
    <col min="15880" max="15880" width="7" style="8" customWidth="1"/>
    <col min="15881" max="15886" width="6.25" style="8" customWidth="1"/>
    <col min="15887" max="16130" width="9" style="8"/>
    <col min="16131" max="16131" width="5.625" style="8" bestFit="1" customWidth="1"/>
    <col min="16132" max="16132" width="7" style="8" bestFit="1" customWidth="1"/>
    <col min="16133" max="16133" width="5.5" style="8" bestFit="1" customWidth="1"/>
    <col min="16134" max="16134" width="7.5" style="8" bestFit="1" customWidth="1"/>
    <col min="16135" max="16135" width="7.25" style="8" bestFit="1" customWidth="1"/>
    <col min="16136" max="16136" width="7" style="8" customWidth="1"/>
    <col min="16137" max="16142" width="6.25" style="8" customWidth="1"/>
    <col min="16143" max="16384" width="9" style="8"/>
  </cols>
  <sheetData>
    <row r="1" spans="1:14" ht="23.25" customHeight="1">
      <c r="A1" s="776" t="s">
        <v>37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</row>
    <row r="2" spans="1:14" s="10" customFormat="1" ht="20.25" customHeight="1" thickBot="1">
      <c r="A2" s="797"/>
      <c r="B2" s="797"/>
      <c r="C2" s="9"/>
      <c r="D2" s="9"/>
      <c r="E2" s="9"/>
      <c r="F2" s="9"/>
      <c r="H2" s="11"/>
      <c r="N2" s="70"/>
    </row>
    <row r="3" spans="1:14" s="10" customFormat="1" ht="20.25" hidden="1" customHeight="1">
      <c r="A3" s="788" t="s">
        <v>38</v>
      </c>
      <c r="B3" s="778" t="s">
        <v>39</v>
      </c>
      <c r="C3" s="778" t="s">
        <v>40</v>
      </c>
      <c r="D3" s="778" t="s">
        <v>41</v>
      </c>
      <c r="E3" s="778" t="s">
        <v>42</v>
      </c>
      <c r="F3" s="778" t="s">
        <v>43</v>
      </c>
      <c r="G3" s="778" t="s">
        <v>37</v>
      </c>
      <c r="H3" s="781" t="s">
        <v>44</v>
      </c>
      <c r="I3" s="782"/>
      <c r="J3" s="782"/>
      <c r="K3" s="783"/>
      <c r="L3" s="784" t="s">
        <v>45</v>
      </c>
      <c r="N3" s="70"/>
    </row>
    <row r="4" spans="1:14" s="10" customFormat="1" ht="20.25" hidden="1" customHeight="1">
      <c r="A4" s="789"/>
      <c r="B4" s="779"/>
      <c r="C4" s="779"/>
      <c r="D4" s="779"/>
      <c r="E4" s="779"/>
      <c r="F4" s="779"/>
      <c r="G4" s="780"/>
      <c r="H4" s="12" t="s">
        <v>46</v>
      </c>
      <c r="I4" s="12" t="s">
        <v>47</v>
      </c>
      <c r="J4" s="12" t="s">
        <v>48</v>
      </c>
      <c r="K4" s="12" t="s">
        <v>49</v>
      </c>
      <c r="L4" s="785"/>
      <c r="N4" s="70"/>
    </row>
    <row r="5" spans="1:14" s="10" customFormat="1" ht="20.25" hidden="1" customHeight="1">
      <c r="A5" s="790"/>
      <c r="B5" s="780"/>
      <c r="C5" s="780"/>
      <c r="D5" s="780"/>
      <c r="E5" s="780"/>
      <c r="F5" s="780"/>
      <c r="G5" s="12" t="s">
        <v>50</v>
      </c>
      <c r="H5" s="12" t="s">
        <v>50</v>
      </c>
      <c r="I5" s="12" t="s">
        <v>50</v>
      </c>
      <c r="J5" s="12" t="s">
        <v>50</v>
      </c>
      <c r="K5" s="12" t="s">
        <v>50</v>
      </c>
      <c r="L5" s="13" t="s">
        <v>50</v>
      </c>
      <c r="N5" s="70"/>
    </row>
    <row r="6" spans="1:14" ht="20.25" hidden="1" customHeight="1">
      <c r="A6" s="14" t="s">
        <v>51</v>
      </c>
      <c r="B6" s="15" t="s">
        <v>52</v>
      </c>
      <c r="C6" s="15" t="s">
        <v>52</v>
      </c>
      <c r="D6" s="15" t="s">
        <v>52</v>
      </c>
      <c r="E6" s="15" t="s">
        <v>52</v>
      </c>
      <c r="F6" s="15" t="s">
        <v>52</v>
      </c>
      <c r="G6" s="16">
        <v>91.287154823147176</v>
      </c>
      <c r="H6" s="17">
        <v>91.108528581547176</v>
      </c>
      <c r="I6" s="18">
        <v>91.491796386896084</v>
      </c>
      <c r="J6" s="18">
        <v>90.455006835001555</v>
      </c>
      <c r="K6" s="19">
        <v>90.744015840305025</v>
      </c>
      <c r="L6" s="20">
        <v>91.705748675589405</v>
      </c>
    </row>
    <row r="7" spans="1:14" ht="23.25" hidden="1" customHeight="1">
      <c r="A7" s="792" t="s">
        <v>53</v>
      </c>
      <c r="B7" s="21" t="s">
        <v>54</v>
      </c>
      <c r="C7" s="22">
        <v>4</v>
      </c>
      <c r="D7" s="22">
        <v>211</v>
      </c>
      <c r="E7" s="22">
        <v>93</v>
      </c>
      <c r="F7" s="22">
        <v>15</v>
      </c>
      <c r="G7" s="16">
        <v>91.007903107877269</v>
      </c>
      <c r="H7" s="17">
        <v>90.382136603566991</v>
      </c>
      <c r="I7" s="18">
        <v>90.168109004706295</v>
      </c>
      <c r="J7" s="18">
        <v>89.780455754487221</v>
      </c>
      <c r="K7" s="19">
        <v>92.358017754999992</v>
      </c>
      <c r="L7" s="20">
        <v>91.633669612187532</v>
      </c>
    </row>
    <row r="8" spans="1:14" ht="23.25" hidden="1" customHeight="1">
      <c r="A8" s="793"/>
      <c r="B8" s="21" t="s">
        <v>55</v>
      </c>
      <c r="C8" s="22">
        <v>4</v>
      </c>
      <c r="D8" s="22">
        <v>212</v>
      </c>
      <c r="E8" s="22">
        <v>94</v>
      </c>
      <c r="F8" s="22">
        <v>16</v>
      </c>
      <c r="G8" s="16">
        <v>90.957232906940277</v>
      </c>
      <c r="H8" s="17">
        <v>93.434891624509348</v>
      </c>
      <c r="I8" s="18">
        <v>93.094235909892603</v>
      </c>
      <c r="J8" s="18">
        <v>93.455479129591893</v>
      </c>
      <c r="K8" s="19">
        <v>94.895472277380946</v>
      </c>
      <c r="L8" s="20">
        <v>88.47957418937122</v>
      </c>
    </row>
    <row r="9" spans="1:14" ht="23.25" hidden="1" customHeight="1">
      <c r="A9" s="793"/>
      <c r="B9" s="21" t="s">
        <v>56</v>
      </c>
      <c r="C9" s="22">
        <v>4</v>
      </c>
      <c r="D9" s="22">
        <v>180</v>
      </c>
      <c r="E9" s="22">
        <v>66</v>
      </c>
      <c r="F9" s="22">
        <v>3</v>
      </c>
      <c r="G9" s="16">
        <v>92.294605767533866</v>
      </c>
      <c r="H9" s="17">
        <v>92.88753481110777</v>
      </c>
      <c r="I9" s="18">
        <v>92.32963915294367</v>
      </c>
      <c r="J9" s="18">
        <v>95.408367050657915</v>
      </c>
      <c r="K9" s="19">
        <v>89.514063024999984</v>
      </c>
      <c r="L9" s="20">
        <v>91.701676723959963</v>
      </c>
    </row>
    <row r="10" spans="1:14" ht="23.25" hidden="1" customHeight="1">
      <c r="A10" s="793"/>
      <c r="B10" s="21" t="s">
        <v>57</v>
      </c>
      <c r="C10" s="22">
        <v>4</v>
      </c>
      <c r="D10" s="22">
        <v>216</v>
      </c>
      <c r="E10" s="22">
        <v>98</v>
      </c>
      <c r="F10" s="22">
        <v>20</v>
      </c>
      <c r="G10" s="16">
        <v>90.460862086593238</v>
      </c>
      <c r="H10" s="17">
        <v>89.093453736400733</v>
      </c>
      <c r="I10" s="18">
        <v>89.032119308251936</v>
      </c>
      <c r="J10" s="18">
        <v>86.631582071276611</v>
      </c>
      <c r="K10" s="19">
        <v>95.108856254999992</v>
      </c>
      <c r="L10" s="20">
        <v>91.828270436785758</v>
      </c>
    </row>
    <row r="11" spans="1:14" ht="23.25" hidden="1" customHeight="1">
      <c r="A11" s="793"/>
      <c r="B11" s="21" t="s">
        <v>58</v>
      </c>
      <c r="C11" s="22">
        <v>4</v>
      </c>
      <c r="D11" s="22">
        <v>206</v>
      </c>
      <c r="E11" s="22">
        <v>89</v>
      </c>
      <c r="F11" s="22">
        <v>12</v>
      </c>
      <c r="G11" s="16">
        <v>91.391126976018356</v>
      </c>
      <c r="H11" s="17">
        <v>92.821496617715241</v>
      </c>
      <c r="I11" s="18">
        <v>94.120418064298505</v>
      </c>
      <c r="J11" s="18">
        <v>90.461167985795484</v>
      </c>
      <c r="K11" s="19">
        <v>91.457900058333323</v>
      </c>
      <c r="L11" s="20">
        <v>89.960757334321471</v>
      </c>
    </row>
    <row r="12" spans="1:14" ht="23.25" hidden="1" customHeight="1">
      <c r="A12" s="793"/>
      <c r="B12" s="21" t="s">
        <v>59</v>
      </c>
      <c r="C12" s="22">
        <v>4</v>
      </c>
      <c r="D12" s="22">
        <v>201</v>
      </c>
      <c r="E12" s="22">
        <v>85</v>
      </c>
      <c r="F12" s="22">
        <v>8</v>
      </c>
      <c r="G12" s="16">
        <v>91.610091083364978</v>
      </c>
      <c r="H12" s="17">
        <v>91.86213270715848</v>
      </c>
      <c r="I12" s="18">
        <v>92.639335154098333</v>
      </c>
      <c r="J12" s="18">
        <v>91.437171027083366</v>
      </c>
      <c r="K12" s="19">
        <v>89.700396585416669</v>
      </c>
      <c r="L12" s="20">
        <v>91.358049459571475</v>
      </c>
    </row>
    <row r="13" spans="1:14" ht="23.25" hidden="1" customHeight="1">
      <c r="A13" s="793"/>
      <c r="B13" s="21" t="s">
        <v>60</v>
      </c>
      <c r="C13" s="22">
        <v>4</v>
      </c>
      <c r="D13" s="22">
        <v>148</v>
      </c>
      <c r="E13" s="22">
        <v>42</v>
      </c>
      <c r="F13" s="22">
        <v>1</v>
      </c>
      <c r="G13" s="16">
        <v>93.346314506623401</v>
      </c>
      <c r="H13" s="17">
        <v>92.100410216080434</v>
      </c>
      <c r="I13" s="18">
        <v>92.86620398828866</v>
      </c>
      <c r="J13" s="18">
        <v>90.001789737500047</v>
      </c>
      <c r="K13" s="19">
        <v>93.231034957352932</v>
      </c>
      <c r="L13" s="20">
        <v>94.592218797166382</v>
      </c>
    </row>
    <row r="14" spans="1:14" ht="23.25" hidden="1" customHeight="1">
      <c r="A14" s="793"/>
      <c r="B14" s="21" t="s">
        <v>61</v>
      </c>
      <c r="C14" s="22">
        <v>4</v>
      </c>
      <c r="D14" s="22">
        <v>215</v>
      </c>
      <c r="E14" s="22">
        <v>97</v>
      </c>
      <c r="F14" s="22">
        <v>19</v>
      </c>
      <c r="G14" s="16">
        <v>90.627416896234152</v>
      </c>
      <c r="H14" s="17">
        <v>90.124586257367099</v>
      </c>
      <c r="I14" s="18">
        <v>90.971366658146067</v>
      </c>
      <c r="J14" s="18">
        <v>90.199070427671913</v>
      </c>
      <c r="K14" s="19">
        <v>85.562428609999998</v>
      </c>
      <c r="L14" s="20">
        <v>91.130247535101205</v>
      </c>
    </row>
    <row r="15" spans="1:14" ht="23.25" hidden="1" customHeight="1">
      <c r="A15" s="793"/>
      <c r="B15" s="21" t="s">
        <v>62</v>
      </c>
      <c r="C15" s="22">
        <v>4</v>
      </c>
      <c r="D15" s="22">
        <v>184</v>
      </c>
      <c r="E15" s="22">
        <v>70</v>
      </c>
      <c r="F15" s="22">
        <v>5</v>
      </c>
      <c r="G15" s="16">
        <v>92.180503566122269</v>
      </c>
      <c r="H15" s="17">
        <v>92.114940124579363</v>
      </c>
      <c r="I15" s="18">
        <v>91.04719636655642</v>
      </c>
      <c r="J15" s="18">
        <v>92.022963649480914</v>
      </c>
      <c r="K15" s="19">
        <v>96.903538031249994</v>
      </c>
      <c r="L15" s="20">
        <v>92.246067007665175</v>
      </c>
    </row>
    <row r="16" spans="1:14" ht="23.25" hidden="1" customHeight="1">
      <c r="A16" s="793"/>
      <c r="B16" s="21" t="s">
        <v>63</v>
      </c>
      <c r="C16" s="22">
        <v>4</v>
      </c>
      <c r="D16" s="22">
        <v>198</v>
      </c>
      <c r="E16" s="22">
        <v>82</v>
      </c>
      <c r="F16" s="22">
        <v>7</v>
      </c>
      <c r="G16" s="16">
        <v>91.66704549802607</v>
      </c>
      <c r="H16" s="17">
        <v>90.005011706409263</v>
      </c>
      <c r="I16" s="18">
        <v>89.949046765846376</v>
      </c>
      <c r="J16" s="18">
        <v>89.070420230900254</v>
      </c>
      <c r="K16" s="19">
        <v>92.130034385714296</v>
      </c>
      <c r="L16" s="20">
        <v>93.329079289642877</v>
      </c>
    </row>
    <row r="17" spans="1:12" ht="23.25" hidden="1" customHeight="1">
      <c r="A17" s="793"/>
      <c r="B17" s="21" t="s">
        <v>64</v>
      </c>
      <c r="C17" s="22">
        <v>4</v>
      </c>
      <c r="D17" s="22">
        <v>207</v>
      </c>
      <c r="E17" s="22">
        <v>90</v>
      </c>
      <c r="F17" s="22">
        <v>13</v>
      </c>
      <c r="G17" s="16">
        <v>91.33079516668559</v>
      </c>
      <c r="H17" s="17">
        <v>90.054001155292184</v>
      </c>
      <c r="I17" s="18">
        <v>89.916175898700146</v>
      </c>
      <c r="J17" s="18">
        <v>91.200114936979205</v>
      </c>
      <c r="K17" s="19">
        <v>88.525017478260864</v>
      </c>
      <c r="L17" s="20">
        <v>92.607589178078996</v>
      </c>
    </row>
    <row r="18" spans="1:12" ht="23.25" hidden="1" customHeight="1">
      <c r="A18" s="793"/>
      <c r="B18" s="21" t="s">
        <v>65</v>
      </c>
      <c r="C18" s="22">
        <v>4</v>
      </c>
      <c r="D18" s="22">
        <v>219</v>
      </c>
      <c r="E18" s="22">
        <v>101</v>
      </c>
      <c r="F18" s="22">
        <v>22</v>
      </c>
      <c r="G18" s="16">
        <v>90.19420852158207</v>
      </c>
      <c r="H18" s="17">
        <v>88.563698580662106</v>
      </c>
      <c r="I18" s="18">
        <v>87.695277969698381</v>
      </c>
      <c r="J18" s="18">
        <v>88.293073345238128</v>
      </c>
      <c r="K18" s="19">
        <v>93.322992019047632</v>
      </c>
      <c r="L18" s="20">
        <v>91.824718462502034</v>
      </c>
    </row>
    <row r="19" spans="1:12" ht="23.25" hidden="1" customHeight="1">
      <c r="A19" s="793"/>
      <c r="B19" s="21" t="s">
        <v>66</v>
      </c>
      <c r="C19" s="22">
        <v>4</v>
      </c>
      <c r="D19" s="22">
        <v>175</v>
      </c>
      <c r="E19" s="22">
        <v>61</v>
      </c>
      <c r="F19" s="22">
        <v>2</v>
      </c>
      <c r="G19" s="16">
        <v>92.593034365988672</v>
      </c>
      <c r="H19" s="17">
        <v>92.126946528995276</v>
      </c>
      <c r="I19" s="18">
        <v>93.912722078076939</v>
      </c>
      <c r="J19" s="18">
        <v>91.716861611900953</v>
      </c>
      <c r="K19" s="19">
        <v>85.487867548749989</v>
      </c>
      <c r="L19" s="20">
        <v>93.059122202982081</v>
      </c>
    </row>
    <row r="20" spans="1:12" ht="23.25" hidden="1" customHeight="1">
      <c r="A20" s="793"/>
      <c r="B20" s="21" t="s">
        <v>67</v>
      </c>
      <c r="C20" s="22">
        <v>4</v>
      </c>
      <c r="D20" s="22">
        <v>203</v>
      </c>
      <c r="E20" s="22">
        <v>87</v>
      </c>
      <c r="F20" s="22">
        <v>10</v>
      </c>
      <c r="G20" s="16">
        <v>91.498410098373895</v>
      </c>
      <c r="H20" s="17">
        <v>90.066595583327853</v>
      </c>
      <c r="I20" s="18">
        <v>91.040790360126067</v>
      </c>
      <c r="J20" s="18">
        <v>89.745453615142168</v>
      </c>
      <c r="K20" s="19">
        <v>86.649734616373323</v>
      </c>
      <c r="L20" s="20">
        <v>92.930224613419938</v>
      </c>
    </row>
    <row r="21" spans="1:12" ht="23.25" hidden="1" customHeight="1">
      <c r="A21" s="793"/>
      <c r="B21" s="21" t="s">
        <v>68</v>
      </c>
      <c r="C21" s="22">
        <v>4</v>
      </c>
      <c r="D21" s="22">
        <v>204</v>
      </c>
      <c r="E21" s="22">
        <v>88</v>
      </c>
      <c r="F21" s="22">
        <v>11</v>
      </c>
      <c r="G21" s="16">
        <v>91.459874551803864</v>
      </c>
      <c r="H21" s="17">
        <v>90.379526684321945</v>
      </c>
      <c r="I21" s="18">
        <v>90.993780463788198</v>
      </c>
      <c r="J21" s="18">
        <v>90.298608311320805</v>
      </c>
      <c r="K21" s="19">
        <v>88.013100915740722</v>
      </c>
      <c r="L21" s="20">
        <v>92.540222419285783</v>
      </c>
    </row>
    <row r="22" spans="1:12" ht="23.25" hidden="1" customHeight="1">
      <c r="A22" s="793"/>
      <c r="B22" s="21" t="s">
        <v>69</v>
      </c>
      <c r="C22" s="22">
        <v>4</v>
      </c>
      <c r="D22" s="22">
        <v>208</v>
      </c>
      <c r="E22" s="22">
        <v>91</v>
      </c>
      <c r="F22" s="22">
        <v>14</v>
      </c>
      <c r="G22" s="16">
        <v>91.17075518835388</v>
      </c>
      <c r="H22" s="17">
        <v>91.034408732172125</v>
      </c>
      <c r="I22" s="18">
        <v>92.682658443402772</v>
      </c>
      <c r="J22" s="18">
        <v>87.040854566428592</v>
      </c>
      <c r="K22" s="19">
        <v>92.441103171666654</v>
      </c>
      <c r="L22" s="20">
        <v>91.307101644535635</v>
      </c>
    </row>
    <row r="23" spans="1:12" ht="23.25" hidden="1" customHeight="1">
      <c r="A23" s="793"/>
      <c r="B23" s="21" t="s">
        <v>70</v>
      </c>
      <c r="C23" s="22">
        <v>4</v>
      </c>
      <c r="D23" s="22">
        <v>213</v>
      </c>
      <c r="E23" s="22">
        <v>95</v>
      </c>
      <c r="F23" s="22">
        <v>17</v>
      </c>
      <c r="G23" s="16">
        <v>90.792136205323473</v>
      </c>
      <c r="H23" s="17">
        <v>89.429758609639791</v>
      </c>
      <c r="I23" s="18">
        <v>89.548033313272555</v>
      </c>
      <c r="J23" s="18">
        <v>89.66418896250002</v>
      </c>
      <c r="K23" s="19">
        <v>88.290674583333328</v>
      </c>
      <c r="L23" s="20">
        <v>92.154513801007155</v>
      </c>
    </row>
    <row r="24" spans="1:12" ht="23.25" hidden="1" customHeight="1">
      <c r="A24" s="793"/>
      <c r="B24" s="21" t="s">
        <v>71</v>
      </c>
      <c r="C24" s="22">
        <v>4</v>
      </c>
      <c r="D24" s="22">
        <v>202</v>
      </c>
      <c r="E24" s="22">
        <v>86</v>
      </c>
      <c r="F24" s="22">
        <v>9</v>
      </c>
      <c r="G24" s="16">
        <v>91.514246616494205</v>
      </c>
      <c r="H24" s="17">
        <v>90.596337147345594</v>
      </c>
      <c r="I24" s="18">
        <v>90.408056631368538</v>
      </c>
      <c r="J24" s="18">
        <v>89.598832667741945</v>
      </c>
      <c r="K24" s="19">
        <v>93.179513292647059</v>
      </c>
      <c r="L24" s="20">
        <v>92.432156085642802</v>
      </c>
    </row>
    <row r="25" spans="1:12" ht="23.25" hidden="1" customHeight="1">
      <c r="A25" s="793"/>
      <c r="B25" s="21" t="s">
        <v>72</v>
      </c>
      <c r="C25" s="22">
        <v>4</v>
      </c>
      <c r="D25" s="22">
        <v>183</v>
      </c>
      <c r="E25" s="22">
        <v>69</v>
      </c>
      <c r="F25" s="22">
        <v>4</v>
      </c>
      <c r="G25" s="16">
        <v>92.214609561379802</v>
      </c>
      <c r="H25" s="17">
        <v>91.356194648132401</v>
      </c>
      <c r="I25" s="18">
        <v>90.691115016711166</v>
      </c>
      <c r="J25" s="18">
        <v>93.59829642916668</v>
      </c>
      <c r="K25" s="19">
        <v>89.754002822222205</v>
      </c>
      <c r="L25" s="20">
        <v>93.073024474627218</v>
      </c>
    </row>
    <row r="26" spans="1:12" ht="23.25" hidden="1" customHeight="1">
      <c r="A26" s="793"/>
      <c r="B26" s="21" t="s">
        <v>73</v>
      </c>
      <c r="C26" s="22">
        <v>4</v>
      </c>
      <c r="D26" s="22">
        <v>188</v>
      </c>
      <c r="E26" s="22">
        <v>73</v>
      </c>
      <c r="F26" s="22">
        <v>6</v>
      </c>
      <c r="G26" s="16">
        <v>91.985336596667707</v>
      </c>
      <c r="H26" s="17">
        <v>91.561235031692604</v>
      </c>
      <c r="I26" s="18">
        <v>92.788358891989475</v>
      </c>
      <c r="J26" s="18">
        <v>91.509266414880969</v>
      </c>
      <c r="K26" s="19">
        <v>86.516448913749997</v>
      </c>
      <c r="L26" s="20">
        <v>92.409438161642811</v>
      </c>
    </row>
    <row r="27" spans="1:12" ht="23.25" hidden="1" customHeight="1">
      <c r="A27" s="793"/>
      <c r="B27" s="21" t="s">
        <v>74</v>
      </c>
      <c r="C27" s="22">
        <v>4</v>
      </c>
      <c r="D27" s="22">
        <v>218</v>
      </c>
      <c r="E27" s="22">
        <v>100</v>
      </c>
      <c r="F27" s="22">
        <v>21</v>
      </c>
      <c r="G27" s="16">
        <v>90.232340633451372</v>
      </c>
      <c r="H27" s="17">
        <v>92.463227579861098</v>
      </c>
      <c r="I27" s="18">
        <v>95.043474541666669</v>
      </c>
      <c r="J27" s="18">
        <v>88.605345116406269</v>
      </c>
      <c r="K27" s="19">
        <v>90.50306639999998</v>
      </c>
      <c r="L27" s="20">
        <v>88.001453687041632</v>
      </c>
    </row>
    <row r="28" spans="1:12" ht="23.25" hidden="1" customHeight="1" thickBot="1">
      <c r="A28" s="794"/>
      <c r="B28" s="23" t="s">
        <v>75</v>
      </c>
      <c r="C28" s="24">
        <v>4</v>
      </c>
      <c r="D28" s="22">
        <v>214</v>
      </c>
      <c r="E28" s="22">
        <v>96</v>
      </c>
      <c r="F28" s="22">
        <v>18</v>
      </c>
      <c r="G28" s="16">
        <v>90.736441068783847</v>
      </c>
      <c r="H28" s="17">
        <v>92.545586391139096</v>
      </c>
      <c r="I28" s="18">
        <v>93.666751782574451</v>
      </c>
      <c r="J28" s="18">
        <v>89.868505434000056</v>
      </c>
      <c r="K28" s="19">
        <v>93.584617032268483</v>
      </c>
      <c r="L28" s="20">
        <v>88.927295746428612</v>
      </c>
    </row>
    <row r="29" spans="1:12" ht="23.25" hidden="1" customHeight="1" thickBot="1">
      <c r="A29" s="796"/>
      <c r="B29" s="796"/>
      <c r="C29" s="796"/>
      <c r="D29" s="796"/>
      <c r="E29" s="796"/>
      <c r="F29" s="796"/>
      <c r="G29" s="796"/>
      <c r="H29" s="796"/>
      <c r="I29" s="796"/>
      <c r="J29" s="796"/>
      <c r="K29" s="796"/>
      <c r="L29" s="796"/>
    </row>
    <row r="30" spans="1:12" ht="23.25" hidden="1" customHeight="1">
      <c r="A30" s="788" t="s">
        <v>38</v>
      </c>
      <c r="B30" s="778" t="s">
        <v>39</v>
      </c>
      <c r="C30" s="778" t="s">
        <v>40</v>
      </c>
      <c r="D30" s="778" t="s">
        <v>41</v>
      </c>
      <c r="E30" s="778" t="s">
        <v>42</v>
      </c>
      <c r="F30" s="778" t="s">
        <v>43</v>
      </c>
      <c r="G30" s="778" t="s">
        <v>37</v>
      </c>
      <c r="H30" s="781" t="s">
        <v>44</v>
      </c>
      <c r="I30" s="782"/>
      <c r="J30" s="782"/>
      <c r="K30" s="783"/>
      <c r="L30" s="784" t="s">
        <v>45</v>
      </c>
    </row>
    <row r="31" spans="1:12" ht="23.25" hidden="1" customHeight="1">
      <c r="A31" s="789"/>
      <c r="B31" s="779"/>
      <c r="C31" s="779"/>
      <c r="D31" s="779"/>
      <c r="E31" s="779"/>
      <c r="F31" s="779"/>
      <c r="G31" s="780"/>
      <c r="H31" s="12" t="s">
        <v>46</v>
      </c>
      <c r="I31" s="12" t="s">
        <v>47</v>
      </c>
      <c r="J31" s="12" t="s">
        <v>48</v>
      </c>
      <c r="K31" s="12" t="s">
        <v>49</v>
      </c>
      <c r="L31" s="785"/>
    </row>
    <row r="32" spans="1:12" ht="23.25" hidden="1" customHeight="1">
      <c r="A32" s="790"/>
      <c r="B32" s="780"/>
      <c r="C32" s="780"/>
      <c r="D32" s="780"/>
      <c r="E32" s="780"/>
      <c r="F32" s="780"/>
      <c r="G32" s="12" t="s">
        <v>50</v>
      </c>
      <c r="H32" s="12" t="s">
        <v>50</v>
      </c>
      <c r="I32" s="12" t="s">
        <v>50</v>
      </c>
      <c r="J32" s="12" t="s">
        <v>50</v>
      </c>
      <c r="K32" s="12" t="s">
        <v>50</v>
      </c>
      <c r="L32" s="13" t="s">
        <v>50</v>
      </c>
    </row>
    <row r="33" spans="1:12" ht="23.25" hidden="1" customHeight="1">
      <c r="A33" s="14" t="s">
        <v>51</v>
      </c>
      <c r="B33" s="15" t="s">
        <v>52</v>
      </c>
      <c r="C33" s="15" t="s">
        <v>52</v>
      </c>
      <c r="D33" s="15" t="s">
        <v>52</v>
      </c>
      <c r="E33" s="15" t="s">
        <v>52</v>
      </c>
      <c r="F33" s="15" t="s">
        <v>52</v>
      </c>
      <c r="G33" s="16">
        <v>92.547819144631532</v>
      </c>
      <c r="H33" s="17">
        <v>92.314507796974681</v>
      </c>
      <c r="I33" s="18">
        <v>92.377727538045974</v>
      </c>
      <c r="J33" s="18">
        <v>92.333916557459361</v>
      </c>
      <c r="K33" s="19">
        <v>92.044496151890286</v>
      </c>
      <c r="L33" s="25">
        <v>93.025463865652512</v>
      </c>
    </row>
    <row r="34" spans="1:12" ht="23.25" hidden="1" customHeight="1">
      <c r="A34" s="792" t="s">
        <v>76</v>
      </c>
      <c r="B34" s="26" t="s">
        <v>77</v>
      </c>
      <c r="C34" s="26">
        <v>4</v>
      </c>
      <c r="D34" s="22">
        <v>194</v>
      </c>
      <c r="E34" s="22">
        <v>78</v>
      </c>
      <c r="F34" s="26">
        <v>32</v>
      </c>
      <c r="G34" s="16">
        <v>91.867231949798636</v>
      </c>
      <c r="H34" s="17">
        <v>91.256545244540277</v>
      </c>
      <c r="I34" s="18">
        <v>92.724737393186885</v>
      </c>
      <c r="J34" s="18">
        <v>90.577637736574133</v>
      </c>
      <c r="K34" s="19">
        <v>87.094842561458321</v>
      </c>
      <c r="L34" s="25">
        <v>92.477918655056996</v>
      </c>
    </row>
    <row r="35" spans="1:12" ht="23.25" hidden="1" customHeight="1">
      <c r="A35" s="793"/>
      <c r="B35" s="26" t="s">
        <v>78</v>
      </c>
      <c r="C35" s="26">
        <v>4</v>
      </c>
      <c r="D35" s="22">
        <v>189</v>
      </c>
      <c r="E35" s="22">
        <v>74</v>
      </c>
      <c r="F35" s="26">
        <v>28</v>
      </c>
      <c r="G35" s="16">
        <v>91.984515717067239</v>
      </c>
      <c r="H35" s="17">
        <v>91.976370781375778</v>
      </c>
      <c r="I35" s="18">
        <v>92.677321514037871</v>
      </c>
      <c r="J35" s="18">
        <v>90.778957027678572</v>
      </c>
      <c r="K35" s="19">
        <v>91.967938633928568</v>
      </c>
      <c r="L35" s="25">
        <v>91.992660652758715</v>
      </c>
    </row>
    <row r="36" spans="1:12" ht="23.25" hidden="1" customHeight="1">
      <c r="A36" s="793"/>
      <c r="B36" s="26" t="s">
        <v>79</v>
      </c>
      <c r="C36" s="22">
        <v>4</v>
      </c>
      <c r="D36" s="22">
        <v>182</v>
      </c>
      <c r="E36" s="22">
        <v>68</v>
      </c>
      <c r="F36" s="26">
        <v>25</v>
      </c>
      <c r="G36" s="16">
        <v>92.242752281976124</v>
      </c>
      <c r="H36" s="17">
        <v>93.486452011987978</v>
      </c>
      <c r="I36" s="18">
        <v>92.913547517922609</v>
      </c>
      <c r="J36" s="18">
        <v>95.730612183823567</v>
      </c>
      <c r="K36" s="19">
        <v>91.121248322794116</v>
      </c>
      <c r="L36" s="25">
        <v>90.999052551964255</v>
      </c>
    </row>
    <row r="37" spans="1:12" ht="23.25" hidden="1" customHeight="1">
      <c r="A37" s="793"/>
      <c r="B37" s="21" t="s">
        <v>80</v>
      </c>
      <c r="C37" s="22">
        <v>4</v>
      </c>
      <c r="D37" s="22">
        <v>178</v>
      </c>
      <c r="E37" s="22">
        <v>64</v>
      </c>
      <c r="F37" s="26">
        <v>24</v>
      </c>
      <c r="G37" s="16">
        <v>92.5066398836166</v>
      </c>
      <c r="H37" s="17">
        <v>91.47990447018104</v>
      </c>
      <c r="I37" s="18">
        <v>91.991656536315432</v>
      </c>
      <c r="J37" s="18">
        <v>88.913742191509456</v>
      </c>
      <c r="K37" s="19">
        <v>94.413316374946945</v>
      </c>
      <c r="L37" s="25">
        <v>93.533375297052174</v>
      </c>
    </row>
    <row r="38" spans="1:12" ht="23.25" hidden="1" customHeight="1">
      <c r="A38" s="793"/>
      <c r="B38" s="26" t="s">
        <v>81</v>
      </c>
      <c r="C38" s="22">
        <v>4</v>
      </c>
      <c r="D38" s="22">
        <v>141</v>
      </c>
      <c r="E38" s="22">
        <v>37</v>
      </c>
      <c r="F38" s="26">
        <v>15</v>
      </c>
      <c r="G38" s="16">
        <v>93.429765833701381</v>
      </c>
      <c r="H38" s="17">
        <v>92.313767718474139</v>
      </c>
      <c r="I38" s="18">
        <v>90.554037477253402</v>
      </c>
      <c r="J38" s="18">
        <v>94.485249775</v>
      </c>
      <c r="K38" s="19">
        <v>94.574241601315791</v>
      </c>
      <c r="L38" s="25">
        <v>94.545763948928624</v>
      </c>
    </row>
    <row r="39" spans="1:12" ht="20.25" hidden="1" customHeight="1">
      <c r="A39" s="793"/>
      <c r="B39" s="21" t="s">
        <v>82</v>
      </c>
      <c r="C39" s="22">
        <v>4</v>
      </c>
      <c r="D39" s="22">
        <v>157</v>
      </c>
      <c r="E39" s="22">
        <v>46</v>
      </c>
      <c r="F39" s="26">
        <v>21</v>
      </c>
      <c r="G39" s="16">
        <v>93.138031482585575</v>
      </c>
      <c r="H39" s="17">
        <v>91.486457433833252</v>
      </c>
      <c r="I39" s="18">
        <v>90.909914508840771</v>
      </c>
      <c r="J39" s="18">
        <v>93.464017920000003</v>
      </c>
      <c r="K39" s="19">
        <v>89.798153633695662</v>
      </c>
      <c r="L39" s="25">
        <v>94.789605531337912</v>
      </c>
    </row>
    <row r="40" spans="1:12" ht="23.25" hidden="1" customHeight="1">
      <c r="A40" s="793"/>
      <c r="B40" s="26" t="s">
        <v>83</v>
      </c>
      <c r="C40" s="22">
        <v>4</v>
      </c>
      <c r="D40" s="22">
        <v>154</v>
      </c>
      <c r="E40" s="22">
        <v>44</v>
      </c>
      <c r="F40" s="26">
        <v>20</v>
      </c>
      <c r="G40" s="16">
        <v>93.179366329190316</v>
      </c>
      <c r="H40" s="17">
        <v>93.43432076613658</v>
      </c>
      <c r="I40" s="18">
        <v>94.188434409545891</v>
      </c>
      <c r="J40" s="18">
        <v>92.323644689880979</v>
      </c>
      <c r="K40" s="19">
        <v>93.051931409999995</v>
      </c>
      <c r="L40" s="25">
        <v>92.924411892244052</v>
      </c>
    </row>
    <row r="41" spans="1:12" ht="20.25" hidden="1" customHeight="1">
      <c r="A41" s="793"/>
      <c r="B41" s="26" t="s">
        <v>84</v>
      </c>
      <c r="C41" s="22">
        <v>4</v>
      </c>
      <c r="D41" s="22">
        <v>144</v>
      </c>
      <c r="E41" s="22">
        <v>39</v>
      </c>
      <c r="F41" s="26">
        <v>16</v>
      </c>
      <c r="G41" s="16">
        <v>93.384089298317178</v>
      </c>
      <c r="H41" s="17">
        <v>92.722038688489278</v>
      </c>
      <c r="I41" s="18">
        <v>92.225338164776346</v>
      </c>
      <c r="J41" s="18">
        <v>92.551957658750027</v>
      </c>
      <c r="K41" s="19">
        <v>95.222848026118939</v>
      </c>
      <c r="L41" s="25">
        <v>94.046139908145079</v>
      </c>
    </row>
    <row r="42" spans="1:12" ht="20.25" hidden="1" customHeight="1">
      <c r="A42" s="793"/>
      <c r="B42" s="26" t="s">
        <v>85</v>
      </c>
      <c r="C42" s="22">
        <v>4</v>
      </c>
      <c r="D42" s="22">
        <v>220</v>
      </c>
      <c r="E42" s="22">
        <v>102</v>
      </c>
      <c r="F42" s="26">
        <v>38</v>
      </c>
      <c r="G42" s="16">
        <v>89.800595733183755</v>
      </c>
      <c r="H42" s="17">
        <v>89.786428215208545</v>
      </c>
      <c r="I42" s="18">
        <v>89.041648272448271</v>
      </c>
      <c r="J42" s="18">
        <v>91.519184387500033</v>
      </c>
      <c r="K42" s="19">
        <v>89.300035641666639</v>
      </c>
      <c r="L42" s="25">
        <v>89.814763251158965</v>
      </c>
    </row>
    <row r="43" spans="1:12" ht="20.25" hidden="1" customHeight="1">
      <c r="A43" s="793"/>
      <c r="B43" s="26" t="s">
        <v>86</v>
      </c>
      <c r="C43" s="22">
        <v>4</v>
      </c>
      <c r="D43" s="22">
        <v>176</v>
      </c>
      <c r="E43" s="22">
        <v>62</v>
      </c>
      <c r="F43" s="26">
        <v>23</v>
      </c>
      <c r="G43" s="16">
        <v>92.58543890108902</v>
      </c>
      <c r="H43" s="17">
        <v>92.119450606594938</v>
      </c>
      <c r="I43" s="18">
        <v>93.403723052661732</v>
      </c>
      <c r="J43" s="18">
        <v>89.844989587029531</v>
      </c>
      <c r="K43" s="19">
        <v>91.531282861458337</v>
      </c>
      <c r="L43" s="25">
        <v>93.051427195583116</v>
      </c>
    </row>
    <row r="44" spans="1:12" ht="20.25" hidden="1" customHeight="1">
      <c r="A44" s="793"/>
      <c r="B44" s="21" t="s">
        <v>87</v>
      </c>
      <c r="C44" s="22">
        <v>4</v>
      </c>
      <c r="D44" s="22">
        <v>137</v>
      </c>
      <c r="E44" s="22">
        <v>34</v>
      </c>
      <c r="F44" s="26">
        <v>14</v>
      </c>
      <c r="G44" s="16">
        <v>93.481468903487013</v>
      </c>
      <c r="H44" s="17">
        <v>92.410375444029469</v>
      </c>
      <c r="I44" s="18">
        <v>92.374674654833868</v>
      </c>
      <c r="J44" s="18">
        <v>94.019714610294116</v>
      </c>
      <c r="K44" s="19">
        <v>89.336600314705876</v>
      </c>
      <c r="L44" s="25">
        <v>94.55256236294457</v>
      </c>
    </row>
    <row r="45" spans="1:12" ht="20.25" hidden="1" customHeight="1">
      <c r="A45" s="793"/>
      <c r="B45" s="26" t="s">
        <v>88</v>
      </c>
      <c r="C45" s="22">
        <v>4</v>
      </c>
      <c r="D45" s="22">
        <v>199</v>
      </c>
      <c r="E45" s="22">
        <v>83</v>
      </c>
      <c r="F45" s="26">
        <v>33</v>
      </c>
      <c r="G45" s="16">
        <v>91.656667569971447</v>
      </c>
      <c r="H45" s="17">
        <v>90.644929943514299</v>
      </c>
      <c r="I45" s="18">
        <v>90.601140839200298</v>
      </c>
      <c r="J45" s="18">
        <v>88.614065264375014</v>
      </c>
      <c r="K45" s="19">
        <v>94.916847002499992</v>
      </c>
      <c r="L45" s="25">
        <v>92.668405196428594</v>
      </c>
    </row>
    <row r="46" spans="1:12" ht="20.25" hidden="1" customHeight="1">
      <c r="A46" s="793"/>
      <c r="B46" s="21" t="s">
        <v>89</v>
      </c>
      <c r="C46" s="22">
        <v>4</v>
      </c>
      <c r="D46" s="22">
        <v>192</v>
      </c>
      <c r="E46" s="22">
        <v>76</v>
      </c>
      <c r="F46" s="26">
        <v>31</v>
      </c>
      <c r="G46" s="16">
        <v>91.913854027468346</v>
      </c>
      <c r="H46" s="17">
        <v>92.440955071456074</v>
      </c>
      <c r="I46" s="18">
        <v>93.246283924451916</v>
      </c>
      <c r="J46" s="18">
        <v>92.292026454807697</v>
      </c>
      <c r="K46" s="19">
        <v>89.548471079423052</v>
      </c>
      <c r="L46" s="25">
        <v>91.386752983480633</v>
      </c>
    </row>
    <row r="47" spans="1:12" ht="20.25" hidden="1" customHeight="1">
      <c r="A47" s="793"/>
      <c r="B47" s="21" t="s">
        <v>90</v>
      </c>
      <c r="C47" s="22">
        <v>4</v>
      </c>
      <c r="D47" s="22">
        <v>146</v>
      </c>
      <c r="E47" s="22">
        <v>41</v>
      </c>
      <c r="F47" s="26">
        <v>17</v>
      </c>
      <c r="G47" s="16">
        <v>93.364584232560503</v>
      </c>
      <c r="H47" s="17">
        <v>92.454229236133997</v>
      </c>
      <c r="I47" s="18">
        <v>91.760804637326771</v>
      </c>
      <c r="J47" s="18">
        <v>94.183771374375041</v>
      </c>
      <c r="K47" s="19">
        <v>91.699500895</v>
      </c>
      <c r="L47" s="25">
        <v>94.274939228987009</v>
      </c>
    </row>
    <row r="48" spans="1:12" ht="20.25" hidden="1" customHeight="1">
      <c r="A48" s="793"/>
      <c r="B48" s="21" t="s">
        <v>91</v>
      </c>
      <c r="C48" s="22">
        <v>4</v>
      </c>
      <c r="D48" s="22">
        <v>221</v>
      </c>
      <c r="E48" s="22">
        <v>103</v>
      </c>
      <c r="F48" s="26">
        <v>39</v>
      </c>
      <c r="G48" s="16">
        <v>88.730286142955691</v>
      </c>
      <c r="H48" s="17">
        <v>89.601381432768463</v>
      </c>
      <c r="I48" s="18">
        <v>89.559837446456825</v>
      </c>
      <c r="J48" s="18">
        <v>89.477629963888887</v>
      </c>
      <c r="K48" s="19">
        <v>90.008136318055534</v>
      </c>
      <c r="L48" s="25">
        <v>87.859190853142906</v>
      </c>
    </row>
    <row r="49" spans="1:12" ht="20.25" hidden="1" customHeight="1">
      <c r="A49" s="793"/>
      <c r="B49" s="21" t="s">
        <v>92</v>
      </c>
      <c r="C49" s="22">
        <v>4</v>
      </c>
      <c r="D49" s="22">
        <v>200</v>
      </c>
      <c r="E49" s="22">
        <v>84</v>
      </c>
      <c r="F49" s="26">
        <v>34</v>
      </c>
      <c r="G49" s="16">
        <v>91.621687060166181</v>
      </c>
      <c r="H49" s="17">
        <v>92.098025735189481</v>
      </c>
      <c r="I49" s="18">
        <v>92.106446130034399</v>
      </c>
      <c r="J49" s="18">
        <v>93.739074252702736</v>
      </c>
      <c r="K49" s="19">
        <v>88.495126910294118</v>
      </c>
      <c r="L49" s="25">
        <v>91.145348385142881</v>
      </c>
    </row>
    <row r="50" spans="1:12" ht="20.25" hidden="1" customHeight="1">
      <c r="A50" s="793"/>
      <c r="B50" s="21" t="s">
        <v>93</v>
      </c>
      <c r="C50" s="22">
        <v>4</v>
      </c>
      <c r="D50" s="22">
        <v>185</v>
      </c>
      <c r="E50" s="22">
        <v>71</v>
      </c>
      <c r="F50" s="26">
        <v>26</v>
      </c>
      <c r="G50" s="16">
        <v>92.163112959103302</v>
      </c>
      <c r="H50" s="17">
        <v>92.35360945023244</v>
      </c>
      <c r="I50" s="18">
        <v>92.171088963857827</v>
      </c>
      <c r="J50" s="18">
        <v>91.852889605555575</v>
      </c>
      <c r="K50" s="19">
        <v>94.051636415789474</v>
      </c>
      <c r="L50" s="25">
        <v>91.972616467974163</v>
      </c>
    </row>
    <row r="51" spans="1:12" ht="20.25" hidden="1" customHeight="1">
      <c r="A51" s="793"/>
      <c r="B51" s="21" t="s">
        <v>94</v>
      </c>
      <c r="C51" s="22">
        <v>4</v>
      </c>
      <c r="D51" s="22">
        <v>191</v>
      </c>
      <c r="E51" s="22">
        <v>75</v>
      </c>
      <c r="F51" s="26">
        <v>30</v>
      </c>
      <c r="G51" s="16">
        <v>91.951033003517907</v>
      </c>
      <c r="H51" s="17">
        <v>90.918353520017064</v>
      </c>
      <c r="I51" s="18">
        <v>89.650423495217339</v>
      </c>
      <c r="J51" s="18">
        <v>92.246802505468779</v>
      </c>
      <c r="K51" s="19">
        <v>92.540719382812483</v>
      </c>
      <c r="L51" s="25">
        <v>92.983712487018749</v>
      </c>
    </row>
    <row r="52" spans="1:12" ht="20.25" hidden="1" customHeight="1">
      <c r="A52" s="793"/>
      <c r="B52" s="26" t="s">
        <v>95</v>
      </c>
      <c r="C52" s="22">
        <v>4</v>
      </c>
      <c r="D52" s="22">
        <v>209</v>
      </c>
      <c r="E52" s="22">
        <v>92</v>
      </c>
      <c r="F52" s="26">
        <v>35</v>
      </c>
      <c r="G52" s="16">
        <v>91.165957612792312</v>
      </c>
      <c r="H52" s="17">
        <v>91.273489855034583</v>
      </c>
      <c r="I52" s="18">
        <v>91.576287780061861</v>
      </c>
      <c r="J52" s="18">
        <v>90.363700295000015</v>
      </c>
      <c r="K52" s="19">
        <v>91.942436860000001</v>
      </c>
      <c r="L52" s="25">
        <v>91.058425370550026</v>
      </c>
    </row>
    <row r="53" spans="1:12" ht="20.25" hidden="1" customHeight="1">
      <c r="A53" s="793"/>
      <c r="B53" s="26" t="s">
        <v>96</v>
      </c>
      <c r="C53" s="26">
        <v>4</v>
      </c>
      <c r="D53" s="22">
        <v>94</v>
      </c>
      <c r="E53" s="22">
        <v>18</v>
      </c>
      <c r="F53" s="26">
        <v>4</v>
      </c>
      <c r="G53" s="16">
        <v>94.409192425636917</v>
      </c>
      <c r="H53" s="17">
        <v>94.199489727773852</v>
      </c>
      <c r="I53" s="18">
        <v>95.133222996633066</v>
      </c>
      <c r="J53" s="18">
        <v>93.317951425877254</v>
      </c>
      <c r="K53" s="19">
        <v>92.361247034615388</v>
      </c>
      <c r="L53" s="25">
        <v>94.618895123499968</v>
      </c>
    </row>
    <row r="54" spans="1:12" ht="20.25" hidden="1" customHeight="1">
      <c r="A54" s="793"/>
      <c r="B54" s="26" t="s">
        <v>97</v>
      </c>
      <c r="C54" s="22">
        <v>4</v>
      </c>
      <c r="D54" s="22">
        <v>133</v>
      </c>
      <c r="E54" s="22">
        <v>33</v>
      </c>
      <c r="F54" s="26">
        <v>11</v>
      </c>
      <c r="G54" s="16">
        <v>93.599081619902393</v>
      </c>
      <c r="H54" s="17">
        <v>91.537993622661887</v>
      </c>
      <c r="I54" s="18">
        <v>91.985728868269234</v>
      </c>
      <c r="J54" s="18">
        <v>91.878991266071495</v>
      </c>
      <c r="K54" s="19">
        <v>88.946138349999998</v>
      </c>
      <c r="L54" s="25">
        <v>95.660169617142913</v>
      </c>
    </row>
    <row r="55" spans="1:12" ht="20.25" hidden="1" customHeight="1">
      <c r="A55" s="793"/>
      <c r="B55" s="26" t="s">
        <v>98</v>
      </c>
      <c r="C55" s="22">
        <v>4</v>
      </c>
      <c r="D55" s="22">
        <v>187</v>
      </c>
      <c r="E55" s="22">
        <v>72</v>
      </c>
      <c r="F55" s="26">
        <v>27</v>
      </c>
      <c r="G55" s="16">
        <v>92.119494482166374</v>
      </c>
      <c r="H55" s="17">
        <v>92.706603905163988</v>
      </c>
      <c r="I55" s="18">
        <v>91.821438583220498</v>
      </c>
      <c r="J55" s="18">
        <v>93.905928122641541</v>
      </c>
      <c r="K55" s="19">
        <v>93.060265103038333</v>
      </c>
      <c r="L55" s="25">
        <v>91.532385059168746</v>
      </c>
    </row>
    <row r="56" spans="1:12" ht="20.25" hidden="1" customHeight="1">
      <c r="A56" s="793"/>
      <c r="B56" s="26" t="s">
        <v>99</v>
      </c>
      <c r="C56" s="22">
        <v>4</v>
      </c>
      <c r="D56" s="22">
        <v>217</v>
      </c>
      <c r="E56" s="22">
        <v>99</v>
      </c>
      <c r="F56" s="26">
        <v>37</v>
      </c>
      <c r="G56" s="16">
        <v>90.284109594016641</v>
      </c>
      <c r="H56" s="17">
        <v>90.618149360217529</v>
      </c>
      <c r="I56" s="18">
        <v>91.197821581448423</v>
      </c>
      <c r="J56" s="18">
        <v>88.450973872444337</v>
      </c>
      <c r="K56" s="19">
        <v>93.095790470000011</v>
      </c>
      <c r="L56" s="25">
        <v>89.950069827815753</v>
      </c>
    </row>
    <row r="57" spans="1:12" ht="20.25" hidden="1" customHeight="1">
      <c r="A57" s="793"/>
      <c r="B57" s="21" t="s">
        <v>100</v>
      </c>
      <c r="C57" s="22">
        <v>5</v>
      </c>
      <c r="D57" s="22">
        <v>190</v>
      </c>
      <c r="E57" s="22">
        <v>116</v>
      </c>
      <c r="F57" s="26">
        <v>29</v>
      </c>
      <c r="G57" s="16">
        <v>91.969766702256464</v>
      </c>
      <c r="H57" s="17">
        <v>93.087607247997369</v>
      </c>
      <c r="I57" s="18">
        <v>92.960608034080806</v>
      </c>
      <c r="J57" s="18">
        <v>93.660626724999986</v>
      </c>
      <c r="K57" s="19">
        <v>92.636116624999985</v>
      </c>
      <c r="L57" s="25">
        <v>90.851926156515546</v>
      </c>
    </row>
    <row r="58" spans="1:12" ht="20.25" hidden="1" customHeight="1">
      <c r="A58" s="793"/>
      <c r="B58" s="21" t="s">
        <v>101</v>
      </c>
      <c r="C58" s="22">
        <v>5</v>
      </c>
      <c r="D58" s="22">
        <v>89</v>
      </c>
      <c r="E58" s="22">
        <v>74</v>
      </c>
      <c r="F58" s="26">
        <v>3</v>
      </c>
      <c r="G58" s="16">
        <v>94.545682486363631</v>
      </c>
      <c r="H58" s="17">
        <v>95.693223291477253</v>
      </c>
      <c r="I58" s="18">
        <v>97.400058599999994</v>
      </c>
      <c r="J58" s="18">
        <v>94.217300173749976</v>
      </c>
      <c r="K58" s="19">
        <v>93.58486358333333</v>
      </c>
      <c r="L58" s="25">
        <v>93.398141681250024</v>
      </c>
    </row>
    <row r="59" spans="1:12" ht="20.25" hidden="1" customHeight="1">
      <c r="A59" s="793"/>
      <c r="B59" s="21" t="s">
        <v>102</v>
      </c>
      <c r="C59" s="22">
        <v>5</v>
      </c>
      <c r="D59" s="22">
        <v>150</v>
      </c>
      <c r="E59" s="22">
        <v>108</v>
      </c>
      <c r="F59" s="26">
        <v>19</v>
      </c>
      <c r="G59" s="16">
        <v>93.329531114452138</v>
      </c>
      <c r="H59" s="17">
        <v>93.965609755155612</v>
      </c>
      <c r="I59" s="18">
        <v>94.340028811555996</v>
      </c>
      <c r="J59" s="18">
        <v>94.067599260416699</v>
      </c>
      <c r="K59" s="19">
        <v>91.983890792307676</v>
      </c>
      <c r="L59" s="25">
        <v>92.693452473748664</v>
      </c>
    </row>
    <row r="60" spans="1:12" ht="20.25" hidden="1" customHeight="1">
      <c r="A60" s="793"/>
      <c r="B60" s="26" t="s">
        <v>103</v>
      </c>
      <c r="C60" s="26">
        <v>5</v>
      </c>
      <c r="D60" s="22">
        <v>168</v>
      </c>
      <c r="E60" s="22">
        <v>112</v>
      </c>
      <c r="F60" s="26">
        <v>22</v>
      </c>
      <c r="G60" s="16">
        <v>92.881696562601292</v>
      </c>
      <c r="H60" s="17">
        <v>93.000914296164709</v>
      </c>
      <c r="I60" s="18">
        <v>94.3425067645246</v>
      </c>
      <c r="J60" s="18">
        <v>90.708869271666657</v>
      </c>
      <c r="K60" s="19">
        <v>92.481284051249986</v>
      </c>
      <c r="L60" s="25">
        <v>92.762478829037889</v>
      </c>
    </row>
    <row r="61" spans="1:12" ht="20.25" hidden="1" customHeight="1">
      <c r="A61" s="793"/>
      <c r="B61" s="26" t="s">
        <v>104</v>
      </c>
      <c r="C61" s="26">
        <v>5</v>
      </c>
      <c r="D61" s="22">
        <v>131</v>
      </c>
      <c r="E61" s="22">
        <v>100</v>
      </c>
      <c r="F61" s="26">
        <v>10</v>
      </c>
      <c r="G61" s="16">
        <v>93.6124902158802</v>
      </c>
      <c r="H61" s="17">
        <v>93.70607177151814</v>
      </c>
      <c r="I61" s="18">
        <v>93.224170082692311</v>
      </c>
      <c r="J61" s="18">
        <v>94.496738869816994</v>
      </c>
      <c r="K61" s="19">
        <v>93.856576731250854</v>
      </c>
      <c r="L61" s="25">
        <v>93.518908660242275</v>
      </c>
    </row>
    <row r="62" spans="1:12" ht="20.25" hidden="1" customHeight="1">
      <c r="A62" s="793"/>
      <c r="B62" s="21" t="s">
        <v>105</v>
      </c>
      <c r="C62" s="22">
        <v>5</v>
      </c>
      <c r="D62" s="22">
        <v>126</v>
      </c>
      <c r="E62" s="22">
        <v>96</v>
      </c>
      <c r="F62" s="26">
        <v>8</v>
      </c>
      <c r="G62" s="16">
        <v>93.726942066575489</v>
      </c>
      <c r="H62" s="17">
        <v>92.075504612406661</v>
      </c>
      <c r="I62" s="18">
        <v>93.989119212591191</v>
      </c>
      <c r="J62" s="18">
        <v>91.847984412499997</v>
      </c>
      <c r="K62" s="19">
        <v>87.106128058823529</v>
      </c>
      <c r="L62" s="25">
        <v>95.378379520744318</v>
      </c>
    </row>
    <row r="63" spans="1:12" ht="20.25" hidden="1" customHeight="1">
      <c r="A63" s="793"/>
      <c r="B63" s="21" t="s">
        <v>106</v>
      </c>
      <c r="C63" s="22">
        <v>5</v>
      </c>
      <c r="D63" s="22">
        <v>106</v>
      </c>
      <c r="E63" s="22">
        <v>84</v>
      </c>
      <c r="F63" s="26">
        <v>6</v>
      </c>
      <c r="G63" s="16">
        <v>94.215542912139242</v>
      </c>
      <c r="H63" s="17">
        <v>93.053702236610107</v>
      </c>
      <c r="I63" s="18">
        <v>91.767400754648776</v>
      </c>
      <c r="J63" s="18">
        <v>93.064165835227257</v>
      </c>
      <c r="K63" s="19">
        <v>96.499113982692293</v>
      </c>
      <c r="L63" s="25">
        <v>95.377383587668376</v>
      </c>
    </row>
    <row r="64" spans="1:12" ht="20.25" hidden="1" customHeight="1">
      <c r="A64" s="793"/>
      <c r="B64" s="26" t="s">
        <v>107</v>
      </c>
      <c r="C64" s="22">
        <v>5</v>
      </c>
      <c r="D64" s="22">
        <v>119</v>
      </c>
      <c r="E64" s="22">
        <v>91</v>
      </c>
      <c r="F64" s="26">
        <v>7</v>
      </c>
      <c r="G64" s="16">
        <v>93.930399026088878</v>
      </c>
      <c r="H64" s="17">
        <v>91.638638100427741</v>
      </c>
      <c r="I64" s="18">
        <v>91.262454222553487</v>
      </c>
      <c r="J64" s="18">
        <v>92.061635541216248</v>
      </c>
      <c r="K64" s="19">
        <v>91.906565614062501</v>
      </c>
      <c r="L64" s="25">
        <v>96.222159951750001</v>
      </c>
    </row>
    <row r="65" spans="1:12" ht="20.25" hidden="1" customHeight="1">
      <c r="A65" s="793"/>
      <c r="B65" s="26" t="s">
        <v>108</v>
      </c>
      <c r="C65" s="22">
        <v>5</v>
      </c>
      <c r="D65" s="22">
        <v>130</v>
      </c>
      <c r="E65" s="22">
        <v>99</v>
      </c>
      <c r="F65" s="26">
        <v>9</v>
      </c>
      <c r="G65" s="16">
        <v>93.633857598910765</v>
      </c>
      <c r="H65" s="17">
        <v>91.129806910321506</v>
      </c>
      <c r="I65" s="18">
        <v>91.339653995515278</v>
      </c>
      <c r="J65" s="18">
        <v>93.220535269031316</v>
      </c>
      <c r="K65" s="19">
        <v>87.677975932812501</v>
      </c>
      <c r="L65" s="25">
        <v>96.137908287500011</v>
      </c>
    </row>
    <row r="66" spans="1:12" ht="20.25" hidden="1" customHeight="1">
      <c r="A66" s="793"/>
      <c r="B66" s="26" t="s">
        <v>109</v>
      </c>
      <c r="C66" s="26">
        <v>5</v>
      </c>
      <c r="D66" s="22">
        <v>149</v>
      </c>
      <c r="E66" s="22">
        <v>107</v>
      </c>
      <c r="F66" s="26">
        <v>18</v>
      </c>
      <c r="G66" s="16">
        <v>93.341938603806682</v>
      </c>
      <c r="H66" s="17">
        <v>94.042046419238375</v>
      </c>
      <c r="I66" s="18">
        <v>93.947738290558391</v>
      </c>
      <c r="J66" s="18">
        <v>95.853115242241401</v>
      </c>
      <c r="K66" s="19">
        <v>91.438573744444454</v>
      </c>
      <c r="L66" s="25">
        <v>92.641830788374989</v>
      </c>
    </row>
    <row r="67" spans="1:12" ht="20.25" hidden="1" customHeight="1">
      <c r="A67" s="793"/>
      <c r="B67" s="26" t="s">
        <v>110</v>
      </c>
      <c r="C67" s="22">
        <v>5</v>
      </c>
      <c r="D67" s="22">
        <v>136</v>
      </c>
      <c r="E67" s="22">
        <v>103</v>
      </c>
      <c r="F67" s="26">
        <v>13</v>
      </c>
      <c r="G67" s="16">
        <v>93.552031378220704</v>
      </c>
      <c r="H67" s="17">
        <v>92.971344319441357</v>
      </c>
      <c r="I67" s="18">
        <v>93.067456787677855</v>
      </c>
      <c r="J67" s="18">
        <v>92.387476269444434</v>
      </c>
      <c r="K67" s="19">
        <v>93.682709421666644</v>
      </c>
      <c r="L67" s="25">
        <v>94.132718437000037</v>
      </c>
    </row>
    <row r="68" spans="1:12" ht="20.25" hidden="1" customHeight="1">
      <c r="A68" s="793"/>
      <c r="B68" s="26" t="s">
        <v>111</v>
      </c>
      <c r="C68" s="22">
        <v>5</v>
      </c>
      <c r="D68" s="22">
        <v>135</v>
      </c>
      <c r="E68" s="22">
        <v>102</v>
      </c>
      <c r="F68" s="26">
        <v>12</v>
      </c>
      <c r="G68" s="16">
        <v>93.573063626546258</v>
      </c>
      <c r="H68" s="17">
        <v>93.967028407554622</v>
      </c>
      <c r="I68" s="18">
        <v>93.392389542158043</v>
      </c>
      <c r="J68" s="18">
        <v>94.069880315146818</v>
      </c>
      <c r="K68" s="19">
        <v>95.641875200905957</v>
      </c>
      <c r="L68" s="25">
        <v>93.179098845537908</v>
      </c>
    </row>
    <row r="69" spans="1:12" ht="20.25" hidden="1" customHeight="1">
      <c r="A69" s="793"/>
      <c r="B69" s="21" t="s">
        <v>112</v>
      </c>
      <c r="C69" s="22">
        <v>5</v>
      </c>
      <c r="D69" s="22">
        <v>82</v>
      </c>
      <c r="E69" s="22">
        <v>70</v>
      </c>
      <c r="F69" s="26">
        <v>2</v>
      </c>
      <c r="G69" s="16">
        <v>94.604498547140309</v>
      </c>
      <c r="H69" s="17">
        <v>92.517621233780631</v>
      </c>
      <c r="I69" s="18">
        <v>90.898039903052222</v>
      </c>
      <c r="J69" s="18">
        <v>94.138024134523818</v>
      </c>
      <c r="K69" s="19">
        <v>94.483023351785718</v>
      </c>
      <c r="L69" s="25">
        <v>96.691375860499974</v>
      </c>
    </row>
    <row r="70" spans="1:12" ht="20.25" hidden="1" customHeight="1">
      <c r="A70" s="793"/>
      <c r="B70" s="26" t="s">
        <v>113</v>
      </c>
      <c r="C70" s="22">
        <v>5</v>
      </c>
      <c r="D70" s="22">
        <v>25</v>
      </c>
      <c r="E70" s="22">
        <v>25</v>
      </c>
      <c r="F70" s="26">
        <v>1</v>
      </c>
      <c r="G70" s="16">
        <v>95.838681287855039</v>
      </c>
      <c r="H70" s="17">
        <v>96.415600388541677</v>
      </c>
      <c r="I70" s="18">
        <v>96.67123778289475</v>
      </c>
      <c r="J70" s="18">
        <v>95.350669303571408</v>
      </c>
      <c r="K70" s="19">
        <v>97.388625911538455</v>
      </c>
      <c r="L70" s="25">
        <v>95.261762187168401</v>
      </c>
    </row>
    <row r="71" spans="1:12" ht="20.25" hidden="1" customHeight="1">
      <c r="A71" s="793"/>
      <c r="B71" s="26" t="s">
        <v>114</v>
      </c>
      <c r="C71" s="22">
        <v>5</v>
      </c>
      <c r="D71" s="22">
        <v>210</v>
      </c>
      <c r="E71" s="22">
        <v>118</v>
      </c>
      <c r="F71" s="26">
        <v>36</v>
      </c>
      <c r="G71" s="16">
        <v>91.071001673196349</v>
      </c>
      <c r="H71" s="17">
        <v>91.722635801392769</v>
      </c>
      <c r="I71" s="18">
        <v>90.957600166832506</v>
      </c>
      <c r="J71" s="18">
        <v>91.627698868750016</v>
      </c>
      <c r="K71" s="19">
        <v>93.89919258076921</v>
      </c>
      <c r="L71" s="25">
        <v>90.419367544999943</v>
      </c>
    </row>
    <row r="72" spans="1:12" ht="20.25" hidden="1" customHeight="1" thickBot="1">
      <c r="A72" s="794"/>
      <c r="B72" s="27" t="s">
        <v>115</v>
      </c>
      <c r="C72" s="27">
        <v>5</v>
      </c>
      <c r="D72" s="22">
        <v>102</v>
      </c>
      <c r="E72" s="22">
        <v>81</v>
      </c>
      <c r="F72" s="26">
        <v>5</v>
      </c>
      <c r="G72" s="16">
        <v>94.26816268406283</v>
      </c>
      <c r="H72" s="17">
        <v>92.3498884422727</v>
      </c>
      <c r="I72" s="18">
        <v>94.071250609482746</v>
      </c>
      <c r="J72" s="18">
        <v>88.497861246666673</v>
      </c>
      <c r="K72" s="19">
        <v>93.064516177272722</v>
      </c>
      <c r="L72" s="25">
        <v>96.186436925852959</v>
      </c>
    </row>
    <row r="73" spans="1:12" ht="20.25" hidden="1" customHeight="1" thickBot="1">
      <c r="A73" s="795"/>
      <c r="B73" s="795"/>
      <c r="C73" s="795"/>
      <c r="D73" s="795"/>
      <c r="E73" s="795"/>
      <c r="F73" s="795"/>
      <c r="G73" s="795"/>
      <c r="H73" s="795"/>
      <c r="I73" s="795"/>
      <c r="J73" s="795"/>
      <c r="K73" s="795"/>
      <c r="L73" s="795"/>
    </row>
    <row r="74" spans="1:12" ht="20.25" hidden="1" customHeight="1">
      <c r="A74" s="788" t="s">
        <v>38</v>
      </c>
      <c r="B74" s="778" t="s">
        <v>39</v>
      </c>
      <c r="C74" s="778" t="s">
        <v>40</v>
      </c>
      <c r="D74" s="778" t="s">
        <v>41</v>
      </c>
      <c r="E74" s="778" t="s">
        <v>42</v>
      </c>
      <c r="F74" s="778" t="s">
        <v>43</v>
      </c>
      <c r="G74" s="778" t="s">
        <v>37</v>
      </c>
      <c r="H74" s="781" t="s">
        <v>44</v>
      </c>
      <c r="I74" s="782"/>
      <c r="J74" s="782"/>
      <c r="K74" s="783"/>
      <c r="L74" s="784" t="s">
        <v>45</v>
      </c>
    </row>
    <row r="75" spans="1:12" ht="20.25" hidden="1" customHeight="1">
      <c r="A75" s="789"/>
      <c r="B75" s="779"/>
      <c r="C75" s="779"/>
      <c r="D75" s="779"/>
      <c r="E75" s="779"/>
      <c r="F75" s="779"/>
      <c r="G75" s="780"/>
      <c r="H75" s="12" t="s">
        <v>46</v>
      </c>
      <c r="I75" s="12" t="s">
        <v>47</v>
      </c>
      <c r="J75" s="12" t="s">
        <v>48</v>
      </c>
      <c r="K75" s="12" t="s">
        <v>49</v>
      </c>
      <c r="L75" s="785"/>
    </row>
    <row r="76" spans="1:12" ht="20.25" hidden="1" customHeight="1">
      <c r="A76" s="790"/>
      <c r="B76" s="780"/>
      <c r="C76" s="780"/>
      <c r="D76" s="780"/>
      <c r="E76" s="780"/>
      <c r="F76" s="780"/>
      <c r="G76" s="12" t="s">
        <v>50</v>
      </c>
      <c r="H76" s="12" t="s">
        <v>50</v>
      </c>
      <c r="I76" s="12" t="s">
        <v>50</v>
      </c>
      <c r="J76" s="12" t="s">
        <v>50</v>
      </c>
      <c r="K76" s="12" t="s">
        <v>50</v>
      </c>
      <c r="L76" s="13" t="s">
        <v>50</v>
      </c>
    </row>
    <row r="77" spans="1:12" ht="20.25" hidden="1" customHeight="1">
      <c r="A77" s="14" t="s">
        <v>51</v>
      </c>
      <c r="B77" s="15" t="s">
        <v>52</v>
      </c>
      <c r="C77" s="15" t="s">
        <v>52</v>
      </c>
      <c r="D77" s="15" t="s">
        <v>52</v>
      </c>
      <c r="E77" s="15" t="s">
        <v>52</v>
      </c>
      <c r="F77" s="15" t="s">
        <v>52</v>
      </c>
      <c r="G77" s="16">
        <v>93.893036825089354</v>
      </c>
      <c r="H77" s="28">
        <v>93.563757135277314</v>
      </c>
      <c r="I77" s="28">
        <v>93.594188726156432</v>
      </c>
      <c r="J77" s="28">
        <v>93.64077542221078</v>
      </c>
      <c r="K77" s="28">
        <v>93.292339652752219</v>
      </c>
      <c r="L77" s="25">
        <v>94.339153091429111</v>
      </c>
    </row>
    <row r="78" spans="1:12" ht="20.25" hidden="1" customHeight="1">
      <c r="A78" s="792" t="s">
        <v>116</v>
      </c>
      <c r="B78" s="26" t="s">
        <v>117</v>
      </c>
      <c r="C78" s="26">
        <v>4</v>
      </c>
      <c r="D78" s="22">
        <v>118</v>
      </c>
      <c r="E78" s="22">
        <v>28</v>
      </c>
      <c r="F78" s="26">
        <v>20</v>
      </c>
      <c r="G78" s="16">
        <v>93.985926103748383</v>
      </c>
      <c r="H78" s="28">
        <v>94.655984030620189</v>
      </c>
      <c r="I78" s="28">
        <v>96.296834759027774</v>
      </c>
      <c r="J78" s="28">
        <v>90.622412818243276</v>
      </c>
      <c r="K78" s="28">
        <v>96.211028151249991</v>
      </c>
      <c r="L78" s="25">
        <v>93.315868176876577</v>
      </c>
    </row>
    <row r="79" spans="1:12" ht="20.25" hidden="1" customHeight="1">
      <c r="A79" s="793"/>
      <c r="B79" s="26" t="s">
        <v>118</v>
      </c>
      <c r="C79" s="26">
        <v>4</v>
      </c>
      <c r="D79" s="22">
        <v>170</v>
      </c>
      <c r="E79" s="22">
        <v>58</v>
      </c>
      <c r="F79" s="26">
        <v>31</v>
      </c>
      <c r="G79" s="16">
        <v>92.716084960345256</v>
      </c>
      <c r="H79" s="28">
        <v>93.031871686273547</v>
      </c>
      <c r="I79" s="28">
        <v>93.576923884066957</v>
      </c>
      <c r="J79" s="28">
        <v>91.290873307812518</v>
      </c>
      <c r="K79" s="28">
        <v>94.061133553124989</v>
      </c>
      <c r="L79" s="25">
        <v>92.400298234416965</v>
      </c>
    </row>
    <row r="80" spans="1:12" ht="20.25" hidden="1" customHeight="1">
      <c r="A80" s="793"/>
      <c r="B80" s="26" t="s">
        <v>119</v>
      </c>
      <c r="C80" s="26">
        <v>4</v>
      </c>
      <c r="D80" s="22">
        <v>166</v>
      </c>
      <c r="E80" s="22">
        <v>55</v>
      </c>
      <c r="F80" s="26">
        <v>30</v>
      </c>
      <c r="G80" s="16">
        <v>92.925029375337957</v>
      </c>
      <c r="H80" s="28">
        <v>90.506401186056678</v>
      </c>
      <c r="I80" s="28">
        <v>90.049811214440737</v>
      </c>
      <c r="J80" s="28">
        <v>92.594030869387765</v>
      </c>
      <c r="K80" s="28">
        <v>87.911335399999984</v>
      </c>
      <c r="L80" s="25">
        <v>95.343657564619235</v>
      </c>
    </row>
    <row r="81" spans="1:12" ht="20.25" hidden="1" customHeight="1">
      <c r="A81" s="793"/>
      <c r="B81" s="26" t="s">
        <v>120</v>
      </c>
      <c r="C81" s="26">
        <v>4</v>
      </c>
      <c r="D81" s="22">
        <v>179</v>
      </c>
      <c r="E81" s="22">
        <v>65</v>
      </c>
      <c r="F81" s="26">
        <v>35</v>
      </c>
      <c r="G81" s="16">
        <v>92.443687758807812</v>
      </c>
      <c r="H81" s="28">
        <v>92.375517980892653</v>
      </c>
      <c r="I81" s="28">
        <v>92.479585976705948</v>
      </c>
      <c r="J81" s="28">
        <v>92.403640717307738</v>
      </c>
      <c r="K81" s="28">
        <v>91.846279404166651</v>
      </c>
      <c r="L81" s="25">
        <v>92.511857536722985</v>
      </c>
    </row>
    <row r="82" spans="1:12" ht="20.25" hidden="1" customHeight="1">
      <c r="A82" s="793"/>
      <c r="B82" s="26" t="s">
        <v>121</v>
      </c>
      <c r="C82" s="26">
        <v>4</v>
      </c>
      <c r="D82" s="22">
        <v>177</v>
      </c>
      <c r="E82" s="22">
        <v>63</v>
      </c>
      <c r="F82" s="26">
        <v>34</v>
      </c>
      <c r="G82" s="16">
        <v>92.560767726638133</v>
      </c>
      <c r="H82" s="28">
        <v>91.690868064617831</v>
      </c>
      <c r="I82" s="28">
        <v>93.602024402402648</v>
      </c>
      <c r="J82" s="28">
        <v>89.091998217142873</v>
      </c>
      <c r="K82" s="28">
        <v>88.775692335937492</v>
      </c>
      <c r="L82" s="25">
        <v>93.430667388658435</v>
      </c>
    </row>
    <row r="83" spans="1:12" ht="20.25" hidden="1" customHeight="1">
      <c r="A83" s="793"/>
      <c r="B83" s="26" t="s">
        <v>122</v>
      </c>
      <c r="C83" s="26">
        <v>4</v>
      </c>
      <c r="D83" s="22">
        <v>164</v>
      </c>
      <c r="E83" s="22">
        <v>53</v>
      </c>
      <c r="F83" s="26">
        <v>29</v>
      </c>
      <c r="G83" s="16">
        <v>92.975451201476801</v>
      </c>
      <c r="H83" s="28">
        <v>93.466054345203716</v>
      </c>
      <c r="I83" s="28">
        <v>94.278051625881005</v>
      </c>
      <c r="J83" s="28">
        <v>93.929976683125034</v>
      </c>
      <c r="K83" s="28">
        <v>89.155913218377876</v>
      </c>
      <c r="L83" s="25">
        <v>92.484848057749872</v>
      </c>
    </row>
    <row r="84" spans="1:12" ht="20.25" hidden="1" customHeight="1">
      <c r="A84" s="793"/>
      <c r="B84" s="29" t="s">
        <v>123</v>
      </c>
      <c r="C84" s="26">
        <v>4</v>
      </c>
      <c r="D84" s="22">
        <v>193</v>
      </c>
      <c r="E84" s="22">
        <v>77</v>
      </c>
      <c r="F84" s="26">
        <v>36</v>
      </c>
      <c r="G84" s="16">
        <v>91.897568869919496</v>
      </c>
      <c r="H84" s="28">
        <v>92.606468506082379</v>
      </c>
      <c r="I84" s="28">
        <v>93.965015957892703</v>
      </c>
      <c r="J84" s="28">
        <v>89.995976876041667</v>
      </c>
      <c r="K84" s="28">
        <v>92.732898821874983</v>
      </c>
      <c r="L84" s="25">
        <v>91.188669233756599</v>
      </c>
    </row>
    <row r="85" spans="1:12" ht="20.25" hidden="1" customHeight="1">
      <c r="A85" s="793"/>
      <c r="B85" s="26" t="s">
        <v>124</v>
      </c>
      <c r="C85" s="26">
        <v>4</v>
      </c>
      <c r="D85" s="22">
        <v>122</v>
      </c>
      <c r="E85" s="22">
        <v>30</v>
      </c>
      <c r="F85" s="26">
        <v>22</v>
      </c>
      <c r="G85" s="16">
        <v>93.841759443194462</v>
      </c>
      <c r="H85" s="28">
        <v>93.412926083531744</v>
      </c>
      <c r="I85" s="28">
        <v>94.112171531944441</v>
      </c>
      <c r="J85" s="28">
        <v>93.518518277083359</v>
      </c>
      <c r="K85" s="28">
        <v>90.404759902777784</v>
      </c>
      <c r="L85" s="25">
        <v>94.270592802857195</v>
      </c>
    </row>
    <row r="86" spans="1:12" ht="20.25" hidden="1" customHeight="1">
      <c r="A86" s="793"/>
      <c r="B86" s="26" t="s">
        <v>125</v>
      </c>
      <c r="C86" s="26">
        <v>4</v>
      </c>
      <c r="D86" s="22">
        <v>132</v>
      </c>
      <c r="E86" s="22">
        <v>32</v>
      </c>
      <c r="F86" s="26">
        <v>25</v>
      </c>
      <c r="G86" s="16">
        <v>93.604135498383229</v>
      </c>
      <c r="H86" s="28">
        <v>92.983649980212945</v>
      </c>
      <c r="I86" s="28">
        <v>92.806990104536396</v>
      </c>
      <c r="J86" s="28">
        <v>93.650614831250024</v>
      </c>
      <c r="K86" s="28">
        <v>92.319460357352938</v>
      </c>
      <c r="L86" s="25">
        <v>94.224621016553513</v>
      </c>
    </row>
    <row r="87" spans="1:12" ht="20.25" hidden="1" customHeight="1">
      <c r="A87" s="793"/>
      <c r="B87" s="26" t="s">
        <v>126</v>
      </c>
      <c r="C87" s="26">
        <v>4</v>
      </c>
      <c r="D87" s="22">
        <v>196</v>
      </c>
      <c r="E87" s="22">
        <v>80</v>
      </c>
      <c r="F87" s="26">
        <v>37</v>
      </c>
      <c r="G87" s="16">
        <v>91.862522769399362</v>
      </c>
      <c r="H87" s="28">
        <v>92.353421913818337</v>
      </c>
      <c r="I87" s="28">
        <v>91.670881941145851</v>
      </c>
      <c r="J87" s="28">
        <v>92.995602298999984</v>
      </c>
      <c r="K87" s="28">
        <v>93.718948485996876</v>
      </c>
      <c r="L87" s="25">
        <v>91.371623624980387</v>
      </c>
    </row>
    <row r="88" spans="1:12" ht="20.25" hidden="1" customHeight="1">
      <c r="A88" s="793"/>
      <c r="B88" s="26" t="s">
        <v>127</v>
      </c>
      <c r="C88" s="26">
        <v>4</v>
      </c>
      <c r="D88" s="22">
        <v>64</v>
      </c>
      <c r="E88" s="22">
        <v>8</v>
      </c>
      <c r="F88" s="26">
        <v>10</v>
      </c>
      <c r="G88" s="16">
        <v>95.015543825201689</v>
      </c>
      <c r="H88" s="28">
        <v>94.932620744736624</v>
      </c>
      <c r="I88" s="28">
        <v>93.854928833733922</v>
      </c>
      <c r="J88" s="28">
        <v>97.643712205288537</v>
      </c>
      <c r="K88" s="28">
        <v>93.819856533000006</v>
      </c>
      <c r="L88" s="25">
        <v>95.09846690566674</v>
      </c>
    </row>
    <row r="89" spans="1:12" ht="20.25" hidden="1" customHeight="1">
      <c r="A89" s="793"/>
      <c r="B89" s="26" t="s">
        <v>128</v>
      </c>
      <c r="C89" s="26">
        <v>4</v>
      </c>
      <c r="D89" s="22">
        <v>80</v>
      </c>
      <c r="E89" s="22">
        <v>12</v>
      </c>
      <c r="F89" s="26">
        <v>15</v>
      </c>
      <c r="G89" s="16">
        <v>94.614871017434496</v>
      </c>
      <c r="H89" s="28">
        <v>92.858210598422886</v>
      </c>
      <c r="I89" s="28">
        <v>92.292646877577297</v>
      </c>
      <c r="J89" s="28">
        <v>93.143611230454596</v>
      </c>
      <c r="K89" s="28">
        <v>94.402093896000011</v>
      </c>
      <c r="L89" s="25">
        <v>96.371531436446119</v>
      </c>
    </row>
    <row r="90" spans="1:12" ht="20.25" hidden="1" customHeight="1">
      <c r="A90" s="793"/>
      <c r="B90" s="26" t="s">
        <v>129</v>
      </c>
      <c r="C90" s="26">
        <v>4</v>
      </c>
      <c r="D90" s="22">
        <v>160</v>
      </c>
      <c r="E90" s="22">
        <v>49</v>
      </c>
      <c r="F90" s="26">
        <v>27</v>
      </c>
      <c r="G90" s="16">
        <v>93.037683214304593</v>
      </c>
      <c r="H90" s="28">
        <v>91.939075009680579</v>
      </c>
      <c r="I90" s="28">
        <v>92.106914502309522</v>
      </c>
      <c r="J90" s="28">
        <v>90.985051933750015</v>
      </c>
      <c r="K90" s="28">
        <v>93.142195292499977</v>
      </c>
      <c r="L90" s="25">
        <v>94.136291418928622</v>
      </c>
    </row>
    <row r="91" spans="1:12" ht="20.25" hidden="1" customHeight="1">
      <c r="A91" s="793"/>
      <c r="B91" s="26" t="s">
        <v>130</v>
      </c>
      <c r="C91" s="26">
        <v>4</v>
      </c>
      <c r="D91" s="22">
        <v>68</v>
      </c>
      <c r="E91" s="22">
        <v>9</v>
      </c>
      <c r="F91" s="26">
        <v>12</v>
      </c>
      <c r="G91" s="16">
        <v>94.942898054061487</v>
      </c>
      <c r="H91" s="28">
        <v>93.335337420178377</v>
      </c>
      <c r="I91" s="28">
        <v>92.944504207131544</v>
      </c>
      <c r="J91" s="28">
        <v>93.688142968214336</v>
      </c>
      <c r="K91" s="28">
        <v>94.139121673944871</v>
      </c>
      <c r="L91" s="25">
        <v>96.550458687944598</v>
      </c>
    </row>
    <row r="92" spans="1:12" ht="20.25" hidden="1" customHeight="1">
      <c r="A92" s="793"/>
      <c r="B92" s="26" t="s">
        <v>131</v>
      </c>
      <c r="C92" s="26">
        <v>4</v>
      </c>
      <c r="D92" s="22">
        <v>50</v>
      </c>
      <c r="E92" s="22">
        <v>4</v>
      </c>
      <c r="F92" s="26">
        <v>6</v>
      </c>
      <c r="G92" s="16">
        <v>95.25659505400634</v>
      </c>
      <c r="H92" s="28">
        <v>95.678523219117693</v>
      </c>
      <c r="I92" s="28">
        <v>95.473059638235299</v>
      </c>
      <c r="J92" s="28">
        <v>95.572874328676491</v>
      </c>
      <c r="K92" s="28">
        <v>96.506211742647054</v>
      </c>
      <c r="L92" s="25">
        <v>94.834666888894972</v>
      </c>
    </row>
    <row r="93" spans="1:12" ht="20.25" hidden="1" customHeight="1">
      <c r="A93" s="793"/>
      <c r="B93" s="29" t="s">
        <v>132</v>
      </c>
      <c r="C93" s="26">
        <v>4</v>
      </c>
      <c r="D93" s="22">
        <v>163</v>
      </c>
      <c r="E93" s="22">
        <v>52</v>
      </c>
      <c r="F93" s="26">
        <v>28</v>
      </c>
      <c r="G93" s="16">
        <v>93.005166576174318</v>
      </c>
      <c r="H93" s="28">
        <v>92.370480231922244</v>
      </c>
      <c r="I93" s="28">
        <v>92.76692095534149</v>
      </c>
      <c r="J93" s="28">
        <v>93.122384908482189</v>
      </c>
      <c r="K93" s="28">
        <v>89.181162373148155</v>
      </c>
      <c r="L93" s="25">
        <v>93.639852920426392</v>
      </c>
    </row>
    <row r="94" spans="1:12" ht="20.25" hidden="1" customHeight="1">
      <c r="A94" s="793"/>
      <c r="B94" s="26" t="s">
        <v>133</v>
      </c>
      <c r="C94" s="26">
        <v>4</v>
      </c>
      <c r="D94" s="22">
        <v>43</v>
      </c>
      <c r="E94" s="22">
        <v>2</v>
      </c>
      <c r="F94" s="26">
        <v>5</v>
      </c>
      <c r="G94" s="16">
        <v>95.358257544460784</v>
      </c>
      <c r="H94" s="28">
        <v>95.10452692567506</v>
      </c>
      <c r="I94" s="28">
        <v>95.237971618207524</v>
      </c>
      <c r="J94" s="28">
        <v>95.624071765351431</v>
      </c>
      <c r="K94" s="28">
        <v>93.505096603571431</v>
      </c>
      <c r="L94" s="25">
        <v>95.611988163246508</v>
      </c>
    </row>
    <row r="95" spans="1:12" ht="20.25" hidden="1" customHeight="1">
      <c r="A95" s="793"/>
      <c r="B95" s="26" t="s">
        <v>134</v>
      </c>
      <c r="C95" s="26">
        <v>4</v>
      </c>
      <c r="D95" s="22">
        <v>108</v>
      </c>
      <c r="E95" s="22">
        <v>24</v>
      </c>
      <c r="F95" s="26">
        <v>18</v>
      </c>
      <c r="G95" s="16">
        <v>94.20146632035889</v>
      </c>
      <c r="H95" s="28">
        <v>93.482000566432021</v>
      </c>
      <c r="I95" s="28">
        <v>93.638308591901506</v>
      </c>
      <c r="J95" s="28">
        <v>92.530847373125027</v>
      </c>
      <c r="K95" s="28">
        <v>95.002830080882333</v>
      </c>
      <c r="L95" s="25">
        <v>94.920932074285773</v>
      </c>
    </row>
    <row r="96" spans="1:12" ht="20.25" hidden="1" customHeight="1">
      <c r="A96" s="793"/>
      <c r="B96" s="26" t="s">
        <v>135</v>
      </c>
      <c r="C96" s="26">
        <v>5</v>
      </c>
      <c r="D96" s="22">
        <v>205</v>
      </c>
      <c r="E96" s="22">
        <v>117</v>
      </c>
      <c r="F96" s="26">
        <v>38</v>
      </c>
      <c r="G96" s="16">
        <v>91.391856431497416</v>
      </c>
      <c r="H96" s="28">
        <v>90.826588475000008</v>
      </c>
      <c r="I96" s="28">
        <v>92.032663862234031</v>
      </c>
      <c r="J96" s="28">
        <v>88.605683563749992</v>
      </c>
      <c r="K96" s="28">
        <v>90.008758810000003</v>
      </c>
      <c r="L96" s="25">
        <v>91.957124387994824</v>
      </c>
    </row>
    <row r="97" spans="1:12" ht="20.25" hidden="1" customHeight="1">
      <c r="A97" s="793"/>
      <c r="B97" s="26" t="s">
        <v>136</v>
      </c>
      <c r="C97" s="26">
        <v>5</v>
      </c>
      <c r="D97" s="22">
        <v>41</v>
      </c>
      <c r="E97" s="22">
        <v>40</v>
      </c>
      <c r="F97" s="26">
        <v>4</v>
      </c>
      <c r="G97" s="16">
        <v>95.471125171164942</v>
      </c>
      <c r="H97" s="28">
        <v>92.952605206384348</v>
      </c>
      <c r="I97" s="28">
        <v>95.792529950268687</v>
      </c>
      <c r="J97" s="28">
        <v>87.574493408695631</v>
      </c>
      <c r="K97" s="28">
        <v>94.004567278333326</v>
      </c>
      <c r="L97" s="25">
        <v>97.989645135945523</v>
      </c>
    </row>
    <row r="98" spans="1:12" ht="20.25" hidden="1" customHeight="1">
      <c r="A98" s="793"/>
      <c r="B98" s="26" t="s">
        <v>137</v>
      </c>
      <c r="C98" s="26">
        <v>5</v>
      </c>
      <c r="D98" s="22">
        <v>85</v>
      </c>
      <c r="E98" s="22">
        <v>72</v>
      </c>
      <c r="F98" s="26">
        <v>17</v>
      </c>
      <c r="G98" s="16">
        <v>94.55991596341174</v>
      </c>
      <c r="H98" s="28">
        <v>94.933972230579201</v>
      </c>
      <c r="I98" s="28">
        <v>95.588758376632057</v>
      </c>
      <c r="J98" s="28">
        <v>96.762694104032278</v>
      </c>
      <c r="K98" s="28">
        <v>90.020372111842079</v>
      </c>
      <c r="L98" s="25">
        <v>94.185859696244279</v>
      </c>
    </row>
    <row r="99" spans="1:12" ht="20.25" hidden="1" customHeight="1">
      <c r="A99" s="793"/>
      <c r="B99" s="26" t="s">
        <v>138</v>
      </c>
      <c r="C99" s="26">
        <v>5</v>
      </c>
      <c r="D99" s="22">
        <v>70</v>
      </c>
      <c r="E99" s="22">
        <v>61</v>
      </c>
      <c r="F99" s="26">
        <v>13</v>
      </c>
      <c r="G99" s="16">
        <v>94.917717007417494</v>
      </c>
      <c r="H99" s="28">
        <v>94.558196946334959</v>
      </c>
      <c r="I99" s="28">
        <v>94.758203350889232</v>
      </c>
      <c r="J99" s="28">
        <v>91.933493219999974</v>
      </c>
      <c r="K99" s="28">
        <v>97.679182141071436</v>
      </c>
      <c r="L99" s="25">
        <v>95.277237068500028</v>
      </c>
    </row>
    <row r="100" spans="1:12" ht="20.25" hidden="1" customHeight="1">
      <c r="A100" s="793"/>
      <c r="B100" s="26" t="s">
        <v>139</v>
      </c>
      <c r="C100" s="26">
        <v>5</v>
      </c>
      <c r="D100" s="22">
        <v>171</v>
      </c>
      <c r="E100" s="22">
        <v>113</v>
      </c>
      <c r="F100" s="26">
        <v>32</v>
      </c>
      <c r="G100" s="16">
        <v>92.696958422716776</v>
      </c>
      <c r="H100" s="28">
        <v>91.171397287184874</v>
      </c>
      <c r="I100" s="28">
        <v>91.075146693885259</v>
      </c>
      <c r="J100" s="28">
        <v>89.837901550000012</v>
      </c>
      <c r="K100" s="28">
        <v>92.984277648333332</v>
      </c>
      <c r="L100" s="25">
        <v>94.222519558248678</v>
      </c>
    </row>
    <row r="101" spans="1:12" ht="20.25" hidden="1" customHeight="1">
      <c r="A101" s="793"/>
      <c r="B101" s="26" t="s">
        <v>140</v>
      </c>
      <c r="C101" s="26">
        <v>5</v>
      </c>
      <c r="D101" s="22">
        <v>124</v>
      </c>
      <c r="E101" s="22">
        <v>94</v>
      </c>
      <c r="F101" s="26">
        <v>23</v>
      </c>
      <c r="G101" s="16">
        <v>93.781994122081002</v>
      </c>
      <c r="H101" s="28">
        <v>95.157595181161994</v>
      </c>
      <c r="I101" s="28">
        <v>94.178785877272702</v>
      </c>
      <c r="J101" s="28">
        <v>97.610292785119086</v>
      </c>
      <c r="K101" s="28">
        <v>93.955639399999995</v>
      </c>
      <c r="L101" s="25">
        <v>92.40639306300001</v>
      </c>
    </row>
    <row r="102" spans="1:12" ht="20.25" hidden="1" customHeight="1">
      <c r="A102" s="793"/>
      <c r="B102" s="26" t="s">
        <v>141</v>
      </c>
      <c r="C102" s="26">
        <v>5</v>
      </c>
      <c r="D102" s="22">
        <v>61</v>
      </c>
      <c r="E102" s="22">
        <v>55</v>
      </c>
      <c r="F102" s="26">
        <v>9</v>
      </c>
      <c r="G102" s="16">
        <v>95.055332939689009</v>
      </c>
      <c r="H102" s="28">
        <v>95.148913574264697</v>
      </c>
      <c r="I102" s="28">
        <v>94.903323105357146</v>
      </c>
      <c r="J102" s="28">
        <v>96.861890682258093</v>
      </c>
      <c r="K102" s="28">
        <v>92.525631968333329</v>
      </c>
      <c r="L102" s="25">
        <v>94.961752305113308</v>
      </c>
    </row>
    <row r="103" spans="1:12" ht="20.25" hidden="1" customHeight="1">
      <c r="A103" s="793"/>
      <c r="B103" s="26" t="s">
        <v>142</v>
      </c>
      <c r="C103" s="26">
        <v>5</v>
      </c>
      <c r="D103" s="22">
        <v>8</v>
      </c>
      <c r="E103" s="22">
        <v>8</v>
      </c>
      <c r="F103" s="26">
        <v>1</v>
      </c>
      <c r="G103" s="16">
        <v>96.414201404176481</v>
      </c>
      <c r="H103" s="28">
        <v>94.747964157352939</v>
      </c>
      <c r="I103" s="28">
        <v>94.660865932203393</v>
      </c>
      <c r="J103" s="28">
        <v>94.65425686465521</v>
      </c>
      <c r="K103" s="28">
        <v>95.309128926785704</v>
      </c>
      <c r="L103" s="25">
        <v>98.080438651000037</v>
      </c>
    </row>
    <row r="104" spans="1:12" ht="20.25" hidden="1" customHeight="1">
      <c r="A104" s="793"/>
      <c r="B104" s="26" t="s">
        <v>143</v>
      </c>
      <c r="C104" s="26">
        <v>5</v>
      </c>
      <c r="D104" s="22">
        <v>12</v>
      </c>
      <c r="E104" s="22">
        <v>12</v>
      </c>
      <c r="F104" s="26">
        <v>2</v>
      </c>
      <c r="G104" s="16">
        <v>96.227004589821576</v>
      </c>
      <c r="H104" s="28">
        <v>96.250341879143079</v>
      </c>
      <c r="I104" s="28">
        <v>95.426939581854043</v>
      </c>
      <c r="J104" s="28">
        <v>96.965977164467418</v>
      </c>
      <c r="K104" s="28">
        <v>97.399065173333341</v>
      </c>
      <c r="L104" s="25">
        <v>96.203667300500058</v>
      </c>
    </row>
    <row r="105" spans="1:12" ht="20.25" hidden="1" customHeight="1">
      <c r="A105" s="793"/>
      <c r="B105" s="26" t="s">
        <v>144</v>
      </c>
      <c r="C105" s="26">
        <v>5</v>
      </c>
      <c r="D105" s="22">
        <v>173</v>
      </c>
      <c r="E105" s="22">
        <v>114</v>
      </c>
      <c r="F105" s="26">
        <v>33</v>
      </c>
      <c r="G105" s="16">
        <v>92.673927302299731</v>
      </c>
      <c r="H105" s="28">
        <v>92.313880768316537</v>
      </c>
      <c r="I105" s="28">
        <v>89.518538269699505</v>
      </c>
      <c r="J105" s="28">
        <v>94.406695099305594</v>
      </c>
      <c r="K105" s="28">
        <v>97.777784291666677</v>
      </c>
      <c r="L105" s="25">
        <v>93.033973836282925</v>
      </c>
    </row>
    <row r="106" spans="1:12" ht="20.25" hidden="1" customHeight="1">
      <c r="A106" s="793"/>
      <c r="B106" s="26" t="s">
        <v>145</v>
      </c>
      <c r="C106" s="26">
        <v>5</v>
      </c>
      <c r="D106" s="22">
        <v>129</v>
      </c>
      <c r="E106" s="22">
        <v>98</v>
      </c>
      <c r="F106" s="26">
        <v>24</v>
      </c>
      <c r="G106" s="16">
        <v>93.667324373240575</v>
      </c>
      <c r="H106" s="28">
        <v>94.440356579481147</v>
      </c>
      <c r="I106" s="28">
        <v>94.064482343644087</v>
      </c>
      <c r="J106" s="28">
        <v>94.355538845833337</v>
      </c>
      <c r="K106" s="28">
        <v>95.894539633823527</v>
      </c>
      <c r="L106" s="25">
        <v>92.894292167000003</v>
      </c>
    </row>
    <row r="107" spans="1:12" ht="20.25" hidden="1" customHeight="1">
      <c r="A107" s="793"/>
      <c r="B107" s="26" t="s">
        <v>146</v>
      </c>
      <c r="C107" s="26">
        <v>5</v>
      </c>
      <c r="D107" s="22">
        <v>17</v>
      </c>
      <c r="E107" s="22">
        <v>17</v>
      </c>
      <c r="F107" s="26">
        <v>3</v>
      </c>
      <c r="G107" s="16">
        <v>96.145712536336831</v>
      </c>
      <c r="H107" s="28">
        <v>95.992706786956546</v>
      </c>
      <c r="I107" s="28">
        <v>96.785701962500013</v>
      </c>
      <c r="J107" s="28">
        <v>95.692462386206913</v>
      </c>
      <c r="K107" s="28">
        <v>93.612501313461522</v>
      </c>
      <c r="L107" s="25">
        <v>96.298718285717115</v>
      </c>
    </row>
    <row r="108" spans="1:12" ht="20.25" hidden="1" customHeight="1">
      <c r="A108" s="793"/>
      <c r="B108" s="26" t="s">
        <v>147</v>
      </c>
      <c r="C108" s="26">
        <v>5</v>
      </c>
      <c r="D108" s="22">
        <v>65</v>
      </c>
      <c r="E108" s="22">
        <v>57</v>
      </c>
      <c r="F108" s="26">
        <v>11</v>
      </c>
      <c r="G108" s="16">
        <v>95.00758888101592</v>
      </c>
      <c r="H108" s="28">
        <v>96.978783111418494</v>
      </c>
      <c r="I108" s="28">
        <v>96.948427495516768</v>
      </c>
      <c r="J108" s="28">
        <v>97.07582291824329</v>
      </c>
      <c r="K108" s="28">
        <v>96.821236581249991</v>
      </c>
      <c r="L108" s="25">
        <v>93.036394650613332</v>
      </c>
    </row>
    <row r="109" spans="1:12" ht="20.25" hidden="1" customHeight="1">
      <c r="A109" s="793"/>
      <c r="B109" s="30" t="s">
        <v>148</v>
      </c>
      <c r="C109" s="30">
        <v>5</v>
      </c>
      <c r="D109" s="22">
        <v>72</v>
      </c>
      <c r="E109" s="22">
        <v>63</v>
      </c>
      <c r="F109" s="26">
        <v>14</v>
      </c>
      <c r="G109" s="16">
        <v>94.829175441664148</v>
      </c>
      <c r="H109" s="28">
        <v>95.089835904111212</v>
      </c>
      <c r="I109" s="28">
        <v>94.545171638167673</v>
      </c>
      <c r="J109" s="28">
        <v>97.035757501923129</v>
      </c>
      <c r="K109" s="28">
        <v>92.658960869444456</v>
      </c>
      <c r="L109" s="25">
        <v>94.568514979217085</v>
      </c>
    </row>
    <row r="110" spans="1:12" ht="20.25" hidden="1" customHeight="1">
      <c r="A110" s="793"/>
      <c r="B110" s="29" t="s">
        <v>149</v>
      </c>
      <c r="C110" s="26">
        <v>5</v>
      </c>
      <c r="D110" s="22">
        <v>56</v>
      </c>
      <c r="E110" s="22">
        <v>51</v>
      </c>
      <c r="F110" s="26">
        <v>8</v>
      </c>
      <c r="G110" s="16">
        <v>95.189878841167769</v>
      </c>
      <c r="H110" s="28">
        <v>95.452777757524316</v>
      </c>
      <c r="I110" s="28">
        <v>96.254998423660723</v>
      </c>
      <c r="J110" s="28">
        <v>94.725467924137945</v>
      </c>
      <c r="K110" s="28">
        <v>94.12875708333334</v>
      </c>
      <c r="L110" s="25">
        <v>94.926979924811207</v>
      </c>
    </row>
    <row r="111" spans="1:12" ht="20.25" hidden="1" customHeight="1">
      <c r="A111" s="793"/>
      <c r="B111" s="29" t="s">
        <v>150</v>
      </c>
      <c r="C111" s="26">
        <v>5</v>
      </c>
      <c r="D111" s="22">
        <v>55</v>
      </c>
      <c r="E111" s="22">
        <v>50</v>
      </c>
      <c r="F111" s="26">
        <v>7</v>
      </c>
      <c r="G111" s="16">
        <v>95.194910538451893</v>
      </c>
      <c r="H111" s="28">
        <v>94.340073809403719</v>
      </c>
      <c r="I111" s="28">
        <v>92.502456909322035</v>
      </c>
      <c r="J111" s="28">
        <v>95.911728917857175</v>
      </c>
      <c r="K111" s="28">
        <v>97.900838363333335</v>
      </c>
      <c r="L111" s="25">
        <v>96.049747267500067</v>
      </c>
    </row>
    <row r="112" spans="1:12" ht="20.25" hidden="1" customHeight="1">
      <c r="A112" s="793"/>
      <c r="B112" s="29" t="s">
        <v>151</v>
      </c>
      <c r="C112" s="26">
        <v>5</v>
      </c>
      <c r="D112" s="22">
        <v>120</v>
      </c>
      <c r="E112" s="22">
        <v>92</v>
      </c>
      <c r="F112" s="26">
        <v>21</v>
      </c>
      <c r="G112" s="16">
        <v>93.929023420069456</v>
      </c>
      <c r="H112" s="28">
        <v>92.99832382265285</v>
      </c>
      <c r="I112" s="28">
        <v>93.227764745040361</v>
      </c>
      <c r="J112" s="28">
        <v>91.646272149107176</v>
      </c>
      <c r="K112" s="28">
        <v>94.550406219117647</v>
      </c>
      <c r="L112" s="25">
        <v>94.859723017486061</v>
      </c>
    </row>
    <row r="113" spans="1:17" ht="20.25" hidden="1" customHeight="1">
      <c r="A113" s="793"/>
      <c r="B113" s="29" t="s">
        <v>152</v>
      </c>
      <c r="C113" s="26">
        <v>5</v>
      </c>
      <c r="D113" s="22">
        <v>81</v>
      </c>
      <c r="E113" s="22">
        <v>69</v>
      </c>
      <c r="F113" s="26">
        <v>16</v>
      </c>
      <c r="G113" s="16">
        <v>94.60745680240656</v>
      </c>
      <c r="H113" s="28">
        <v>94.366466747126665</v>
      </c>
      <c r="I113" s="28">
        <v>92.475274040295375</v>
      </c>
      <c r="J113" s="28">
        <v>97.995055612931054</v>
      </c>
      <c r="K113" s="28">
        <v>93.8668803825</v>
      </c>
      <c r="L113" s="25">
        <v>94.848446857686454</v>
      </c>
    </row>
    <row r="114" spans="1:17" ht="20.25" hidden="1" customHeight="1">
      <c r="A114" s="793"/>
      <c r="B114" s="29" t="s">
        <v>153</v>
      </c>
      <c r="C114" s="26">
        <v>5</v>
      </c>
      <c r="D114" s="22">
        <v>117</v>
      </c>
      <c r="E114" s="22">
        <v>90</v>
      </c>
      <c r="F114" s="26">
        <v>19</v>
      </c>
      <c r="G114" s="16">
        <v>94.007132761151169</v>
      </c>
      <c r="H114" s="28">
        <v>92.087802063189031</v>
      </c>
      <c r="I114" s="28">
        <v>94.272684050704214</v>
      </c>
      <c r="J114" s="28">
        <v>90.531268469318221</v>
      </c>
      <c r="K114" s="28">
        <v>84.867873481250001</v>
      </c>
      <c r="L114" s="25">
        <v>95.926463459113307</v>
      </c>
    </row>
    <row r="115" spans="1:17" ht="20.25" hidden="1" customHeight="1" thickBot="1">
      <c r="A115" s="794"/>
      <c r="B115" s="27" t="s">
        <v>154</v>
      </c>
      <c r="C115" s="27">
        <v>5</v>
      </c>
      <c r="D115" s="22">
        <v>155</v>
      </c>
      <c r="E115" s="22">
        <v>111</v>
      </c>
      <c r="F115" s="26">
        <v>26</v>
      </c>
      <c r="G115" s="16">
        <v>93.172954088126488</v>
      </c>
      <c r="H115" s="28">
        <v>92.333729041897996</v>
      </c>
      <c r="I115" s="28">
        <v>92.991632273567632</v>
      </c>
      <c r="J115" s="28">
        <v>89.438952354807711</v>
      </c>
      <c r="K115" s="28">
        <v>94.358612552777771</v>
      </c>
      <c r="L115" s="25">
        <v>94.012179134354994</v>
      </c>
    </row>
    <row r="116" spans="1:17" ht="20.25" hidden="1" customHeight="1" thickBot="1">
      <c r="A116" s="795"/>
      <c r="B116" s="795"/>
      <c r="C116" s="795"/>
      <c r="D116" s="795"/>
      <c r="E116" s="795"/>
      <c r="F116" s="795"/>
      <c r="G116" s="795"/>
      <c r="H116" s="795"/>
      <c r="I116" s="795"/>
      <c r="J116" s="795"/>
      <c r="K116" s="795"/>
      <c r="L116" s="795"/>
    </row>
    <row r="117" spans="1:17" ht="20.25" customHeight="1">
      <c r="A117" s="788" t="s">
        <v>38</v>
      </c>
      <c r="B117" s="778" t="s">
        <v>39</v>
      </c>
      <c r="C117" s="778" t="s">
        <v>40</v>
      </c>
      <c r="D117" s="778" t="s">
        <v>41</v>
      </c>
      <c r="E117" s="778" t="s">
        <v>42</v>
      </c>
      <c r="F117" s="778" t="s">
        <v>43</v>
      </c>
      <c r="G117" s="778" t="s">
        <v>37</v>
      </c>
      <c r="H117" s="781" t="s">
        <v>44</v>
      </c>
      <c r="I117" s="782"/>
      <c r="J117" s="782"/>
      <c r="K117" s="783"/>
      <c r="L117" s="784" t="s">
        <v>45</v>
      </c>
    </row>
    <row r="118" spans="1:17" ht="20.25" customHeight="1" thickBot="1">
      <c r="A118" s="789"/>
      <c r="B118" s="779"/>
      <c r="C118" s="779"/>
      <c r="D118" s="779"/>
      <c r="E118" s="779"/>
      <c r="F118" s="779"/>
      <c r="G118" s="780"/>
      <c r="H118" s="12" t="s">
        <v>46</v>
      </c>
      <c r="I118" s="12" t="s">
        <v>47</v>
      </c>
      <c r="J118" s="12" t="s">
        <v>48</v>
      </c>
      <c r="K118" s="12" t="s">
        <v>49</v>
      </c>
      <c r="L118" s="785"/>
    </row>
    <row r="119" spans="1:17" ht="20.25" customHeight="1" thickBot="1">
      <c r="A119" s="790"/>
      <c r="B119" s="780"/>
      <c r="C119" s="780"/>
      <c r="D119" s="780"/>
      <c r="E119" s="780"/>
      <c r="F119" s="780"/>
      <c r="G119" s="12" t="s">
        <v>50</v>
      </c>
      <c r="H119" s="12" t="s">
        <v>50</v>
      </c>
      <c r="I119" s="12" t="s">
        <v>50</v>
      </c>
      <c r="J119" s="12" t="s">
        <v>50</v>
      </c>
      <c r="K119" s="12" t="s">
        <v>50</v>
      </c>
      <c r="L119" s="13" t="s">
        <v>50</v>
      </c>
      <c r="N119" s="182" t="s">
        <v>278</v>
      </c>
    </row>
    <row r="120" spans="1:17" ht="20.25" customHeight="1" thickTop="1" thickBot="1">
      <c r="A120" s="14" t="s">
        <v>51</v>
      </c>
      <c r="B120" s="15" t="s">
        <v>52</v>
      </c>
      <c r="C120" s="15" t="s">
        <v>52</v>
      </c>
      <c r="D120" s="15" t="s">
        <v>52</v>
      </c>
      <c r="E120" s="15" t="s">
        <v>52</v>
      </c>
      <c r="F120" s="15" t="s">
        <v>52</v>
      </c>
      <c r="G120" s="16">
        <v>94.570441158527828</v>
      </c>
      <c r="H120" s="28">
        <v>94.462215284310702</v>
      </c>
      <c r="I120" s="28">
        <v>94.487955327560556</v>
      </c>
      <c r="J120" s="28">
        <v>94.434315572887797</v>
      </c>
      <c r="K120" s="28">
        <v>94.424375339228035</v>
      </c>
      <c r="L120" s="25">
        <v>94.728266111976012</v>
      </c>
      <c r="N120" s="183"/>
      <c r="P120" s="59" t="s">
        <v>253</v>
      </c>
      <c r="Q120" s="65" t="s">
        <v>254</v>
      </c>
    </row>
    <row r="121" spans="1:17" ht="20.25" customHeight="1">
      <c r="A121" s="792" t="s">
        <v>155</v>
      </c>
      <c r="B121" s="29" t="s">
        <v>0</v>
      </c>
      <c r="C121" s="26">
        <v>4</v>
      </c>
      <c r="D121" s="22">
        <v>158</v>
      </c>
      <c r="E121" s="22">
        <v>47</v>
      </c>
      <c r="F121" s="26">
        <v>29</v>
      </c>
      <c r="G121" s="16">
        <v>93.101786578484166</v>
      </c>
      <c r="H121" s="28">
        <v>94.263373531377468</v>
      </c>
      <c r="I121" s="28">
        <v>93.405113878684617</v>
      </c>
      <c r="J121" s="28">
        <v>96.018099212195139</v>
      </c>
      <c r="K121" s="28">
        <v>94.542300680263153</v>
      </c>
      <c r="L121" s="25">
        <v>91.940199625590864</v>
      </c>
      <c r="N121" s="184">
        <f>VLOOKUP(B121,$P$120:$Q$155,2,0)</f>
        <v>91.33</v>
      </c>
      <c r="P121" s="60" t="s">
        <v>0</v>
      </c>
      <c r="Q121" s="66">
        <v>91.33</v>
      </c>
    </row>
    <row r="122" spans="1:17" ht="20.25" customHeight="1">
      <c r="A122" s="793"/>
      <c r="B122" s="29" t="s">
        <v>1</v>
      </c>
      <c r="C122" s="26">
        <v>4</v>
      </c>
      <c r="D122" s="22">
        <v>159</v>
      </c>
      <c r="E122" s="22">
        <v>48</v>
      </c>
      <c r="F122" s="26">
        <v>30</v>
      </c>
      <c r="G122" s="16">
        <v>93.058603004082329</v>
      </c>
      <c r="H122" s="28">
        <v>92.754363377738287</v>
      </c>
      <c r="I122" s="28">
        <v>93.691361895123904</v>
      </c>
      <c r="J122" s="28">
        <v>92.209590128289491</v>
      </c>
      <c r="K122" s="28">
        <v>89.997284384210502</v>
      </c>
      <c r="L122" s="25">
        <v>93.362842630426371</v>
      </c>
      <c r="N122" s="184">
        <f t="shared" ref="N122:N152" si="0">VLOOKUP(B122,$P$120:$Q$155,2,0)</f>
        <v>90.362254643966011</v>
      </c>
      <c r="P122" s="61" t="s">
        <v>1</v>
      </c>
      <c r="Q122" s="66">
        <v>90.362254643966011</v>
      </c>
    </row>
    <row r="123" spans="1:17" ht="20.25" customHeight="1">
      <c r="A123" s="793"/>
      <c r="B123" s="29" t="s">
        <v>2</v>
      </c>
      <c r="C123" s="26">
        <v>4</v>
      </c>
      <c r="D123" s="22">
        <v>52</v>
      </c>
      <c r="E123" s="22">
        <v>5</v>
      </c>
      <c r="F123" s="26">
        <v>12</v>
      </c>
      <c r="G123" s="16">
        <v>95.233832746573995</v>
      </c>
      <c r="H123" s="28">
        <v>95.08914164605271</v>
      </c>
      <c r="I123" s="28">
        <v>95.6010383058466</v>
      </c>
      <c r="J123" s="28">
        <v>93.033674136352062</v>
      </c>
      <c r="K123" s="28">
        <v>97.798952884782608</v>
      </c>
      <c r="L123" s="25">
        <v>95.378523847095295</v>
      </c>
      <c r="N123" s="184">
        <f t="shared" si="0"/>
        <v>90.286740688259897</v>
      </c>
      <c r="P123" s="61" t="s">
        <v>2</v>
      </c>
      <c r="Q123" s="66">
        <v>90.286740688259897</v>
      </c>
    </row>
    <row r="124" spans="1:17" ht="20.25" customHeight="1">
      <c r="A124" s="793"/>
      <c r="B124" s="29" t="s">
        <v>3</v>
      </c>
      <c r="C124" s="26">
        <v>4</v>
      </c>
      <c r="D124" s="22">
        <v>29</v>
      </c>
      <c r="E124" s="22">
        <v>1</v>
      </c>
      <c r="F124" s="26">
        <v>8</v>
      </c>
      <c r="G124" s="16">
        <v>95.641632421854837</v>
      </c>
      <c r="H124" s="28">
        <v>92.97791408946081</v>
      </c>
      <c r="I124" s="28">
        <v>93.636861350542802</v>
      </c>
      <c r="J124" s="28">
        <v>91.509896722916693</v>
      </c>
      <c r="K124" s="28">
        <v>92.838861604166652</v>
      </c>
      <c r="L124" s="25">
        <v>98.305350754248863</v>
      </c>
      <c r="N124" s="184">
        <f t="shared" si="0"/>
        <v>90.329388731058074</v>
      </c>
      <c r="P124" s="61" t="s">
        <v>3</v>
      </c>
      <c r="Q124" s="66">
        <v>90.329388731058074</v>
      </c>
    </row>
    <row r="125" spans="1:17" ht="20.25" customHeight="1">
      <c r="A125" s="793"/>
      <c r="B125" s="29" t="s">
        <v>4</v>
      </c>
      <c r="C125" s="26">
        <v>4</v>
      </c>
      <c r="D125" s="22">
        <v>195</v>
      </c>
      <c r="E125" s="22">
        <v>79</v>
      </c>
      <c r="F125" s="26">
        <v>32</v>
      </c>
      <c r="G125" s="16">
        <v>91.865997321796925</v>
      </c>
      <c r="H125" s="28">
        <v>91.622325781552263</v>
      </c>
      <c r="I125" s="28">
        <v>90.001846855811991</v>
      </c>
      <c r="J125" s="28">
        <v>94.424972118534541</v>
      </c>
      <c r="K125" s="28">
        <v>92.05192014137927</v>
      </c>
      <c r="L125" s="25">
        <v>92.109668862041602</v>
      </c>
      <c r="N125" s="184">
        <f t="shared" si="0"/>
        <v>90.504807229883184</v>
      </c>
      <c r="P125" s="61" t="s">
        <v>4</v>
      </c>
      <c r="Q125" s="66">
        <v>90.504807229883184</v>
      </c>
    </row>
    <row r="126" spans="1:17" ht="20.25" customHeight="1">
      <c r="A126" s="793"/>
      <c r="B126" s="29" t="s">
        <v>5</v>
      </c>
      <c r="C126" s="26">
        <v>4</v>
      </c>
      <c r="D126" s="22">
        <v>181</v>
      </c>
      <c r="E126" s="22">
        <v>67</v>
      </c>
      <c r="F126" s="26">
        <v>31</v>
      </c>
      <c r="G126" s="16">
        <v>92.28822640861415</v>
      </c>
      <c r="H126" s="28">
        <v>91.604613923464953</v>
      </c>
      <c r="I126" s="28">
        <v>90.472292763888873</v>
      </c>
      <c r="J126" s="28">
        <v>92.258970311029415</v>
      </c>
      <c r="K126" s="28">
        <v>94.492150151470582</v>
      </c>
      <c r="L126" s="25">
        <v>92.971838893763334</v>
      </c>
      <c r="N126" s="184">
        <f t="shared" si="0"/>
        <v>90.407786289891348</v>
      </c>
      <c r="P126" s="61" t="s">
        <v>5</v>
      </c>
      <c r="Q126" s="66">
        <v>90.407786289891348</v>
      </c>
    </row>
    <row r="127" spans="1:17" ht="20.25" customHeight="1">
      <c r="A127" s="793"/>
      <c r="B127" s="29" t="s">
        <v>6</v>
      </c>
      <c r="C127" s="26">
        <v>4</v>
      </c>
      <c r="D127" s="22">
        <v>60</v>
      </c>
      <c r="E127" s="22">
        <v>6</v>
      </c>
      <c r="F127" s="26">
        <v>15</v>
      </c>
      <c r="G127" s="16">
        <v>95.090192203497736</v>
      </c>
      <c r="H127" s="28">
        <v>93.665304311663249</v>
      </c>
      <c r="I127" s="28">
        <v>91.995207963726699</v>
      </c>
      <c r="J127" s="28">
        <v>94.90291124642863</v>
      </c>
      <c r="K127" s="28">
        <v>96.896028626249986</v>
      </c>
      <c r="L127" s="25">
        <v>96.515080095332209</v>
      </c>
      <c r="N127" s="184">
        <f t="shared" si="0"/>
        <v>91.273333333333326</v>
      </c>
      <c r="P127" s="61" t="s">
        <v>12</v>
      </c>
      <c r="Q127" s="66">
        <v>90.508479551150458</v>
      </c>
    </row>
    <row r="128" spans="1:17" ht="20.25" customHeight="1">
      <c r="A128" s="793"/>
      <c r="B128" s="29" t="s">
        <v>7</v>
      </c>
      <c r="C128" s="26">
        <v>4</v>
      </c>
      <c r="D128" s="22">
        <v>84</v>
      </c>
      <c r="E128" s="22">
        <v>13</v>
      </c>
      <c r="F128" s="26">
        <v>17</v>
      </c>
      <c r="G128" s="16">
        <v>94.567842642646283</v>
      </c>
      <c r="H128" s="28">
        <v>94.986506128626075</v>
      </c>
      <c r="I128" s="28">
        <v>94.979624397272744</v>
      </c>
      <c r="J128" s="28">
        <v>94.963303434090975</v>
      </c>
      <c r="K128" s="28">
        <v>95.063977904999987</v>
      </c>
      <c r="L128" s="25">
        <v>94.149179156666492</v>
      </c>
      <c r="N128" s="184">
        <f t="shared" si="0"/>
        <v>91.3</v>
      </c>
      <c r="P128" s="61" t="s">
        <v>11</v>
      </c>
      <c r="Q128" s="66">
        <v>90.87521736166839</v>
      </c>
    </row>
    <row r="129" spans="1:17" ht="20.25" customHeight="1">
      <c r="A129" s="793"/>
      <c r="B129" s="29" t="s">
        <v>8</v>
      </c>
      <c r="C129" s="26">
        <v>4</v>
      </c>
      <c r="D129" s="22">
        <v>156</v>
      </c>
      <c r="E129" s="22">
        <v>45</v>
      </c>
      <c r="F129" s="26">
        <v>28</v>
      </c>
      <c r="G129" s="16">
        <v>93.164975684063307</v>
      </c>
      <c r="H129" s="28">
        <v>92.996413393974848</v>
      </c>
      <c r="I129" s="28">
        <v>92.838473587685854</v>
      </c>
      <c r="J129" s="28">
        <v>93.925623198015899</v>
      </c>
      <c r="K129" s="28">
        <v>91.597862127500008</v>
      </c>
      <c r="L129" s="25">
        <v>93.333537974151753</v>
      </c>
      <c r="N129" s="184">
        <f t="shared" si="0"/>
        <v>91.016457555452959</v>
      </c>
      <c r="P129" s="61" t="s">
        <v>6</v>
      </c>
      <c r="Q129" s="66">
        <v>91.273333333333326</v>
      </c>
    </row>
    <row r="130" spans="1:17" ht="20.25" customHeight="1">
      <c r="A130" s="793"/>
      <c r="B130" s="29" t="s">
        <v>9</v>
      </c>
      <c r="C130" s="26">
        <v>4</v>
      </c>
      <c r="D130" s="22">
        <v>86</v>
      </c>
      <c r="E130" s="22">
        <v>14</v>
      </c>
      <c r="F130" s="26">
        <v>18</v>
      </c>
      <c r="G130" s="16">
        <v>94.559820298207143</v>
      </c>
      <c r="H130" s="28">
        <v>95.526501236858039</v>
      </c>
      <c r="I130" s="28">
        <v>96.275743931523422</v>
      </c>
      <c r="J130" s="28">
        <v>94.979638795238145</v>
      </c>
      <c r="K130" s="28">
        <v>93.802601532500006</v>
      </c>
      <c r="L130" s="25">
        <v>93.593139359556247</v>
      </c>
      <c r="N130" s="184">
        <f t="shared" si="0"/>
        <v>90.589846909684525</v>
      </c>
      <c r="P130" s="61" t="s">
        <v>7</v>
      </c>
      <c r="Q130" s="66">
        <v>91.3</v>
      </c>
    </row>
    <row r="131" spans="1:17" ht="20.25" customHeight="1">
      <c r="A131" s="793"/>
      <c r="B131" s="29" t="s">
        <v>10</v>
      </c>
      <c r="C131" s="26">
        <v>4</v>
      </c>
      <c r="D131" s="22">
        <v>99</v>
      </c>
      <c r="E131" s="22">
        <v>21</v>
      </c>
      <c r="F131" s="26">
        <v>22</v>
      </c>
      <c r="G131" s="16">
        <v>94.330965365498457</v>
      </c>
      <c r="H131" s="28">
        <v>93.941909557741027</v>
      </c>
      <c r="I131" s="28">
        <v>93.278843516975328</v>
      </c>
      <c r="J131" s="28">
        <v>95.266561527907029</v>
      </c>
      <c r="K131" s="28">
        <v>93.800531930996925</v>
      </c>
      <c r="L131" s="25">
        <v>94.720021173255887</v>
      </c>
      <c r="N131" s="184">
        <f t="shared" si="0"/>
        <v>91.356666666666669</v>
      </c>
      <c r="P131" s="61" t="s">
        <v>8</v>
      </c>
      <c r="Q131" s="66">
        <v>91.016457555452959</v>
      </c>
    </row>
    <row r="132" spans="1:17" ht="20.25" customHeight="1">
      <c r="A132" s="793"/>
      <c r="B132" s="29" t="s">
        <v>11</v>
      </c>
      <c r="C132" s="26">
        <v>4</v>
      </c>
      <c r="D132" s="22">
        <v>93</v>
      </c>
      <c r="E132" s="22">
        <v>17</v>
      </c>
      <c r="F132" s="26">
        <v>21</v>
      </c>
      <c r="G132" s="16">
        <v>94.451997507006126</v>
      </c>
      <c r="H132" s="28">
        <v>94.767812197101577</v>
      </c>
      <c r="I132" s="28">
        <v>94.476200873709715</v>
      </c>
      <c r="J132" s="28">
        <v>94.451084670376233</v>
      </c>
      <c r="K132" s="28">
        <v>96.340903737037024</v>
      </c>
      <c r="L132" s="25">
        <v>94.136182816910676</v>
      </c>
      <c r="N132" s="184">
        <f t="shared" si="0"/>
        <v>90.87521736166839</v>
      </c>
      <c r="P132" s="61" t="s">
        <v>9</v>
      </c>
      <c r="Q132" s="66">
        <v>90.589846909684525</v>
      </c>
    </row>
    <row r="133" spans="1:17" ht="20.25" customHeight="1" thickBot="1">
      <c r="A133" s="793"/>
      <c r="B133" s="29" t="s">
        <v>12</v>
      </c>
      <c r="C133" s="26">
        <v>4</v>
      </c>
      <c r="D133" s="22">
        <v>90</v>
      </c>
      <c r="E133" s="22">
        <v>16</v>
      </c>
      <c r="F133" s="26">
        <v>19</v>
      </c>
      <c r="G133" s="16">
        <v>94.518858603338003</v>
      </c>
      <c r="H133" s="28">
        <v>93.314600257616164</v>
      </c>
      <c r="I133" s="28">
        <v>93.739426478028605</v>
      </c>
      <c r="J133" s="28">
        <v>92.475314223000041</v>
      </c>
      <c r="K133" s="28">
        <v>93.426212222727273</v>
      </c>
      <c r="L133" s="25">
        <v>95.723116949059843</v>
      </c>
      <c r="N133" s="184">
        <f t="shared" si="0"/>
        <v>90.508479551150458</v>
      </c>
      <c r="P133" s="62" t="s">
        <v>10</v>
      </c>
      <c r="Q133" s="66">
        <v>91.356666666666669</v>
      </c>
    </row>
    <row r="134" spans="1:17" ht="20.25" customHeight="1" thickBot="1">
      <c r="A134" s="793"/>
      <c r="B134" s="29" t="s">
        <v>13</v>
      </c>
      <c r="C134" s="26">
        <v>5</v>
      </c>
      <c r="D134" s="22">
        <v>110</v>
      </c>
      <c r="E134" s="22">
        <v>86</v>
      </c>
      <c r="F134" s="26">
        <v>24</v>
      </c>
      <c r="G134" s="16">
        <v>94.109734726871693</v>
      </c>
      <c r="H134" s="28">
        <v>93.794577594243364</v>
      </c>
      <c r="I134" s="28">
        <v>94.362668766385866</v>
      </c>
      <c r="J134" s="28">
        <v>93.023066605468756</v>
      </c>
      <c r="K134" s="28">
        <v>93.329891935526305</v>
      </c>
      <c r="L134" s="25">
        <v>94.424891859500022</v>
      </c>
      <c r="N134" s="184">
        <f t="shared" si="0"/>
        <v>93.084752124794804</v>
      </c>
      <c r="P134" s="59" t="s">
        <v>35</v>
      </c>
      <c r="Q134" s="67">
        <v>90.78007530469344</v>
      </c>
    </row>
    <row r="135" spans="1:17" ht="20.25" customHeight="1">
      <c r="A135" s="793"/>
      <c r="B135" s="29" t="s">
        <v>14</v>
      </c>
      <c r="C135" s="26">
        <v>5</v>
      </c>
      <c r="D135" s="22">
        <v>47</v>
      </c>
      <c r="E135" s="22">
        <v>45</v>
      </c>
      <c r="F135" s="26">
        <v>11</v>
      </c>
      <c r="G135" s="16">
        <v>95.341435262447874</v>
      </c>
      <c r="H135" s="28">
        <v>94.723515179895728</v>
      </c>
      <c r="I135" s="28">
        <v>95.624243217312255</v>
      </c>
      <c r="J135" s="28">
        <v>93.844470950000002</v>
      </c>
      <c r="K135" s="28">
        <v>93.227306407812492</v>
      </c>
      <c r="L135" s="25">
        <v>95.95935534500002</v>
      </c>
      <c r="N135" s="184">
        <f t="shared" si="0"/>
        <v>93.215225797811897</v>
      </c>
      <c r="P135" s="60" t="s">
        <v>14</v>
      </c>
      <c r="Q135" s="66">
        <v>93.215225797811897</v>
      </c>
    </row>
    <row r="136" spans="1:17" ht="20.25" customHeight="1">
      <c r="A136" s="793"/>
      <c r="B136" s="29" t="s">
        <v>15</v>
      </c>
      <c r="C136" s="26">
        <v>5</v>
      </c>
      <c r="D136" s="22">
        <v>28</v>
      </c>
      <c r="E136" s="22">
        <v>28</v>
      </c>
      <c r="F136" s="26">
        <v>7</v>
      </c>
      <c r="G136" s="16">
        <v>95.654255581634345</v>
      </c>
      <c r="H136" s="28">
        <v>94.887215039018727</v>
      </c>
      <c r="I136" s="28">
        <v>96.015937192796613</v>
      </c>
      <c r="J136" s="28">
        <v>92.306152282812519</v>
      </c>
      <c r="K136" s="28">
        <v>95.887177609375001</v>
      </c>
      <c r="L136" s="25">
        <v>96.421296124249977</v>
      </c>
      <c r="N136" s="184">
        <f t="shared" si="0"/>
        <v>93.092878714710693</v>
      </c>
      <c r="P136" s="61" t="s">
        <v>13</v>
      </c>
      <c r="Q136" s="66">
        <v>93.084752124794804</v>
      </c>
    </row>
    <row r="137" spans="1:17" ht="20.25" customHeight="1">
      <c r="A137" s="793"/>
      <c r="B137" s="29" t="s">
        <v>16</v>
      </c>
      <c r="C137" s="26">
        <v>5</v>
      </c>
      <c r="D137" s="22">
        <v>13</v>
      </c>
      <c r="E137" s="22">
        <v>13</v>
      </c>
      <c r="F137" s="26">
        <v>5</v>
      </c>
      <c r="G137" s="16">
        <v>96.223669707861077</v>
      </c>
      <c r="H137" s="28">
        <v>96.757187794192703</v>
      </c>
      <c r="I137" s="28">
        <v>96.702520568962228</v>
      </c>
      <c r="J137" s="28">
        <v>96.816956772142902</v>
      </c>
      <c r="K137" s="28">
        <v>96.816843165789464</v>
      </c>
      <c r="L137" s="25">
        <v>95.690151621529452</v>
      </c>
      <c r="N137" s="184">
        <f t="shared" si="0"/>
        <v>93.55</v>
      </c>
      <c r="P137" s="61" t="s">
        <v>15</v>
      </c>
      <c r="Q137" s="66">
        <v>93.092878714710693</v>
      </c>
    </row>
    <row r="138" spans="1:17" ht="20.25" customHeight="1">
      <c r="A138" s="793"/>
      <c r="B138" s="29" t="s">
        <v>17</v>
      </c>
      <c r="C138" s="26">
        <v>5</v>
      </c>
      <c r="D138" s="22">
        <v>128</v>
      </c>
      <c r="E138" s="22">
        <v>97</v>
      </c>
      <c r="F138" s="26">
        <v>25</v>
      </c>
      <c r="G138" s="16">
        <v>93.687798469403035</v>
      </c>
      <c r="H138" s="28">
        <v>95.033507149811271</v>
      </c>
      <c r="I138" s="28">
        <v>95.706401173503593</v>
      </c>
      <c r="J138" s="28">
        <v>94.542516994186073</v>
      </c>
      <c r="K138" s="28">
        <v>93.435406743478268</v>
      </c>
      <c r="L138" s="25">
        <v>92.342089788994798</v>
      </c>
      <c r="N138" s="184">
        <f t="shared" si="0"/>
        <v>92.515601431619174</v>
      </c>
      <c r="P138" s="61" t="s">
        <v>16</v>
      </c>
      <c r="Q138" s="66">
        <v>93.55</v>
      </c>
    </row>
    <row r="139" spans="1:17" ht="20.25" customHeight="1">
      <c r="A139" s="793"/>
      <c r="B139" s="29" t="s">
        <v>18</v>
      </c>
      <c r="C139" s="26">
        <v>5</v>
      </c>
      <c r="D139" s="22">
        <v>73</v>
      </c>
      <c r="E139" s="22">
        <v>64</v>
      </c>
      <c r="F139" s="26">
        <v>16</v>
      </c>
      <c r="G139" s="16">
        <v>94.75662924912649</v>
      </c>
      <c r="H139" s="28">
        <v>95.629443947935783</v>
      </c>
      <c r="I139" s="28">
        <v>95.888515110080661</v>
      </c>
      <c r="J139" s="28">
        <v>95.687231126666674</v>
      </c>
      <c r="K139" s="28">
        <v>94.582618805882362</v>
      </c>
      <c r="L139" s="25">
        <v>93.883814550317197</v>
      </c>
      <c r="N139" s="184">
        <f t="shared" si="0"/>
        <v>93.55</v>
      </c>
      <c r="P139" s="61" t="s">
        <v>17</v>
      </c>
      <c r="Q139" s="66">
        <v>92.515601431619174</v>
      </c>
    </row>
    <row r="140" spans="1:17" ht="20.25" customHeight="1">
      <c r="A140" s="793"/>
      <c r="B140" s="29" t="s">
        <v>19</v>
      </c>
      <c r="C140" s="26">
        <v>5</v>
      </c>
      <c r="D140" s="22">
        <v>100</v>
      </c>
      <c r="E140" s="22">
        <v>79</v>
      </c>
      <c r="F140" s="26">
        <v>23</v>
      </c>
      <c r="G140" s="16">
        <v>94.325889393134048</v>
      </c>
      <c r="H140" s="28">
        <v>93.537257986268074</v>
      </c>
      <c r="I140" s="28">
        <v>94.306672325186284</v>
      </c>
      <c r="J140" s="28">
        <v>93.747668960483864</v>
      </c>
      <c r="K140" s="28">
        <v>90.845130737202382</v>
      </c>
      <c r="L140" s="25">
        <v>95.114520800000022</v>
      </c>
      <c r="N140" s="184">
        <f t="shared" si="0"/>
        <v>91.502431482647239</v>
      </c>
      <c r="P140" s="61" t="s">
        <v>18</v>
      </c>
      <c r="Q140" s="66">
        <v>93.55</v>
      </c>
    </row>
    <row r="141" spans="1:17" ht="20.25" customHeight="1">
      <c r="A141" s="793"/>
      <c r="B141" s="29" t="s">
        <v>20</v>
      </c>
      <c r="C141" s="26">
        <v>5</v>
      </c>
      <c r="D141" s="22">
        <v>22</v>
      </c>
      <c r="E141" s="22">
        <v>22</v>
      </c>
      <c r="F141" s="26">
        <v>6</v>
      </c>
      <c r="G141" s="16">
        <v>96.007489202058451</v>
      </c>
      <c r="H141" s="28">
        <v>96.891148667084011</v>
      </c>
      <c r="I141" s="28">
        <v>96.586812559504864</v>
      </c>
      <c r="J141" s="28">
        <v>97.074086149999999</v>
      </c>
      <c r="K141" s="28">
        <v>97.453561795312496</v>
      </c>
      <c r="L141" s="25">
        <v>95.123829737032878</v>
      </c>
      <c r="N141" s="184">
        <f t="shared" si="0"/>
        <v>93.490000000000009</v>
      </c>
      <c r="P141" s="61" t="s">
        <v>19</v>
      </c>
      <c r="Q141" s="66">
        <v>91.502431482647239</v>
      </c>
    </row>
    <row r="142" spans="1:17" ht="20.25" customHeight="1">
      <c r="A142" s="793"/>
      <c r="B142" s="29" t="s">
        <v>21</v>
      </c>
      <c r="C142" s="26">
        <v>5</v>
      </c>
      <c r="D142" s="22">
        <v>54</v>
      </c>
      <c r="E142" s="22">
        <v>49</v>
      </c>
      <c r="F142" s="26">
        <v>13</v>
      </c>
      <c r="G142" s="16">
        <v>95.197417020967578</v>
      </c>
      <c r="H142" s="28">
        <v>95.602115522621645</v>
      </c>
      <c r="I142" s="28">
        <v>96.809156078243646</v>
      </c>
      <c r="J142" s="28">
        <v>93.044551303977315</v>
      </c>
      <c r="K142" s="28">
        <v>97.505494762499993</v>
      </c>
      <c r="L142" s="25">
        <v>94.792718519313496</v>
      </c>
      <c r="N142" s="184">
        <f t="shared" si="0"/>
        <v>93.528919144378293</v>
      </c>
      <c r="P142" s="61" t="s">
        <v>20</v>
      </c>
      <c r="Q142" s="66">
        <v>93.490000000000009</v>
      </c>
    </row>
    <row r="143" spans="1:17" ht="20.25" customHeight="1">
      <c r="A143" s="793"/>
      <c r="B143" s="29" t="s">
        <v>22</v>
      </c>
      <c r="C143" s="26">
        <v>5</v>
      </c>
      <c r="D143" s="22">
        <v>35</v>
      </c>
      <c r="E143" s="22">
        <v>34</v>
      </c>
      <c r="F143" s="26">
        <v>10</v>
      </c>
      <c r="G143" s="16">
        <v>95.529027560521456</v>
      </c>
      <c r="H143" s="28">
        <v>94.966568794542894</v>
      </c>
      <c r="I143" s="28">
        <v>95.363486214634506</v>
      </c>
      <c r="J143" s="28">
        <v>94.316988940909113</v>
      </c>
      <c r="K143" s="28">
        <v>94.674239878947347</v>
      </c>
      <c r="L143" s="25">
        <v>96.091486326500018</v>
      </c>
      <c r="N143" s="184">
        <f t="shared" si="0"/>
        <v>92.858460223543375</v>
      </c>
      <c r="P143" s="61" t="s">
        <v>21</v>
      </c>
      <c r="Q143" s="66">
        <v>93.528919144378293</v>
      </c>
    </row>
    <row r="144" spans="1:17" ht="20.25" customHeight="1">
      <c r="A144" s="793"/>
      <c r="B144" s="29" t="s">
        <v>23</v>
      </c>
      <c r="C144" s="26">
        <v>5</v>
      </c>
      <c r="D144" s="22">
        <v>151</v>
      </c>
      <c r="E144" s="22">
        <v>109</v>
      </c>
      <c r="F144" s="26">
        <v>27</v>
      </c>
      <c r="G144" s="16">
        <v>93.286128368800917</v>
      </c>
      <c r="H144" s="28">
        <v>94.379194185472983</v>
      </c>
      <c r="I144" s="28">
        <v>94.192167809475805</v>
      </c>
      <c r="J144" s="28">
        <v>94.785557355833348</v>
      </c>
      <c r="K144" s="28">
        <v>94.347864722368428</v>
      </c>
      <c r="L144" s="25">
        <v>92.19306255212885</v>
      </c>
      <c r="N144" s="184">
        <f t="shared" si="0"/>
        <v>92.82740668033415</v>
      </c>
      <c r="P144" s="61" t="s">
        <v>22</v>
      </c>
      <c r="Q144" s="66">
        <v>92.858460223543375</v>
      </c>
    </row>
    <row r="145" spans="1:17" ht="20.25" customHeight="1">
      <c r="A145" s="793"/>
      <c r="B145" s="29" t="s">
        <v>24</v>
      </c>
      <c r="C145" s="26">
        <v>5</v>
      </c>
      <c r="D145" s="22">
        <v>34</v>
      </c>
      <c r="E145" s="22">
        <v>33</v>
      </c>
      <c r="F145" s="26">
        <v>9</v>
      </c>
      <c r="G145" s="16">
        <v>95.537490273159321</v>
      </c>
      <c r="H145" s="28">
        <v>96.110944034318678</v>
      </c>
      <c r="I145" s="28">
        <v>96.0872421141693</v>
      </c>
      <c r="J145" s="28">
        <v>94.909348891999997</v>
      </c>
      <c r="K145" s="28">
        <v>98.331141394642842</v>
      </c>
      <c r="L145" s="25">
        <v>94.964036511999964</v>
      </c>
      <c r="N145" s="184">
        <f t="shared" si="0"/>
        <v>93.148786968410448</v>
      </c>
      <c r="P145" s="61" t="s">
        <v>23</v>
      </c>
      <c r="Q145" s="66">
        <v>92.82740668033415</v>
      </c>
    </row>
    <row r="146" spans="1:17" ht="20.25" customHeight="1">
      <c r="A146" s="793"/>
      <c r="B146" s="29" t="s">
        <v>25</v>
      </c>
      <c r="C146" s="26">
        <v>5</v>
      </c>
      <c r="D146" s="22">
        <v>9</v>
      </c>
      <c r="E146" s="22">
        <v>9</v>
      </c>
      <c r="F146" s="26">
        <v>4</v>
      </c>
      <c r="G146" s="16">
        <v>96.323452752728912</v>
      </c>
      <c r="H146" s="28">
        <v>96.088316322582841</v>
      </c>
      <c r="I146" s="28">
        <v>95.074030971846639</v>
      </c>
      <c r="J146" s="28">
        <v>97.323436782291651</v>
      </c>
      <c r="K146" s="28">
        <v>97.727272727272734</v>
      </c>
      <c r="L146" s="25">
        <v>96.558589182874968</v>
      </c>
      <c r="N146" s="184">
        <f t="shared" si="0"/>
        <v>93.074575543124396</v>
      </c>
      <c r="P146" s="61" t="s">
        <v>24</v>
      </c>
      <c r="Q146" s="66">
        <v>93.148786968410448</v>
      </c>
    </row>
    <row r="147" spans="1:17" ht="20.25" customHeight="1">
      <c r="A147" s="793"/>
      <c r="B147" s="29" t="s">
        <v>26</v>
      </c>
      <c r="C147" s="26">
        <v>5</v>
      </c>
      <c r="D147" s="22">
        <v>5</v>
      </c>
      <c r="E147" s="22">
        <v>5</v>
      </c>
      <c r="F147" s="26">
        <v>2</v>
      </c>
      <c r="G147" s="16">
        <v>96.54972961066116</v>
      </c>
      <c r="H147" s="28">
        <v>95.52216750426814</v>
      </c>
      <c r="I147" s="28">
        <v>94.861305235158639</v>
      </c>
      <c r="J147" s="28">
        <v>97.117863125735326</v>
      </c>
      <c r="K147" s="28">
        <v>94.290355785714269</v>
      </c>
      <c r="L147" s="25">
        <v>97.57729171705418</v>
      </c>
      <c r="N147" s="184">
        <f t="shared" si="0"/>
        <v>92.054868744188411</v>
      </c>
      <c r="P147" s="61" t="s">
        <v>25</v>
      </c>
      <c r="Q147" s="66">
        <v>93.074575543124396</v>
      </c>
    </row>
    <row r="148" spans="1:17" ht="20.25" customHeight="1">
      <c r="A148" s="793"/>
      <c r="B148" s="29" t="s">
        <v>27</v>
      </c>
      <c r="C148" s="26">
        <v>5</v>
      </c>
      <c r="D148" s="22">
        <v>91</v>
      </c>
      <c r="E148" s="22">
        <v>75</v>
      </c>
      <c r="F148" s="26">
        <v>20</v>
      </c>
      <c r="G148" s="16">
        <v>94.479677356748169</v>
      </c>
      <c r="H148" s="28">
        <v>94.744264451351356</v>
      </c>
      <c r="I148" s="28">
        <v>95.230724426315774</v>
      </c>
      <c r="J148" s="28">
        <v>94.857593169791656</v>
      </c>
      <c r="K148" s="28">
        <v>92.977150427083316</v>
      </c>
      <c r="L148" s="25">
        <v>94.215090262144997</v>
      </c>
      <c r="N148" s="184">
        <f t="shared" si="0"/>
        <v>93.347917929699051</v>
      </c>
      <c r="P148" s="61" t="s">
        <v>26</v>
      </c>
      <c r="Q148" s="66">
        <v>92.054868744188411</v>
      </c>
    </row>
    <row r="149" spans="1:17" ht="20.25" customHeight="1">
      <c r="A149" s="793"/>
      <c r="B149" s="29" t="s">
        <v>28</v>
      </c>
      <c r="C149" s="26">
        <v>5</v>
      </c>
      <c r="D149" s="22">
        <v>134</v>
      </c>
      <c r="E149" s="22">
        <v>101</v>
      </c>
      <c r="F149" s="26">
        <v>26</v>
      </c>
      <c r="G149" s="16">
        <v>93.585458701121794</v>
      </c>
      <c r="H149" s="28">
        <v>94.690154463126007</v>
      </c>
      <c r="I149" s="28">
        <v>95.390488922169467</v>
      </c>
      <c r="J149" s="28">
        <v>94.122937986607127</v>
      </c>
      <c r="K149" s="28">
        <v>93.270682943749989</v>
      </c>
      <c r="L149" s="25">
        <v>92.480762939117582</v>
      </c>
      <c r="N149" s="184">
        <f t="shared" si="0"/>
        <v>93.204306864513413</v>
      </c>
      <c r="P149" s="61" t="s">
        <v>27</v>
      </c>
      <c r="Q149" s="66">
        <v>93.347917929699051</v>
      </c>
    </row>
    <row r="150" spans="1:17" ht="20.25" customHeight="1">
      <c r="A150" s="793"/>
      <c r="B150" s="29" t="s">
        <v>29</v>
      </c>
      <c r="C150" s="26">
        <v>5</v>
      </c>
      <c r="D150" s="22">
        <v>57</v>
      </c>
      <c r="E150" s="22">
        <v>52</v>
      </c>
      <c r="F150" s="26">
        <v>14</v>
      </c>
      <c r="G150" s="16">
        <v>95.148859852471531</v>
      </c>
      <c r="H150" s="28">
        <v>94.404882933888857</v>
      </c>
      <c r="I150" s="28">
        <v>96.334912562234052</v>
      </c>
      <c r="J150" s="28">
        <v>92.747154152884605</v>
      </c>
      <c r="K150" s="28">
        <v>91.604268567647054</v>
      </c>
      <c r="L150" s="25">
        <v>95.892836771054206</v>
      </c>
      <c r="N150" s="184">
        <f t="shared" si="0"/>
        <v>92.307903991204981</v>
      </c>
      <c r="P150" s="61" t="s">
        <v>28</v>
      </c>
      <c r="Q150" s="66">
        <v>93.204306864513413</v>
      </c>
    </row>
    <row r="151" spans="1:17" ht="20.25" customHeight="1">
      <c r="A151" s="793"/>
      <c r="B151" s="29" t="s">
        <v>30</v>
      </c>
      <c r="C151" s="26">
        <v>5</v>
      </c>
      <c r="D151" s="22">
        <v>3</v>
      </c>
      <c r="E151" s="22">
        <v>3</v>
      </c>
      <c r="F151" s="26">
        <v>1</v>
      </c>
      <c r="G151" s="16">
        <v>96.836413691464728</v>
      </c>
      <c r="H151" s="28">
        <v>95.889469137076517</v>
      </c>
      <c r="I151" s="28">
        <v>95.736023783474579</v>
      </c>
      <c r="J151" s="28">
        <v>96.166529222490553</v>
      </c>
      <c r="K151" s="28">
        <v>95.883488673333332</v>
      </c>
      <c r="L151" s="25">
        <v>97.783358245852938</v>
      </c>
      <c r="N151" s="184">
        <f t="shared" si="0"/>
        <v>92.644540315497451</v>
      </c>
      <c r="P151" s="61" t="s">
        <v>29</v>
      </c>
      <c r="Q151" s="66">
        <v>92.307903991204981</v>
      </c>
    </row>
    <row r="152" spans="1:17" ht="20.25" customHeight="1" thickBot="1">
      <c r="A152" s="794"/>
      <c r="B152" s="35" t="s">
        <v>31</v>
      </c>
      <c r="C152" s="27">
        <v>5</v>
      </c>
      <c r="D152" s="24">
        <v>6</v>
      </c>
      <c r="E152" s="24">
        <v>6</v>
      </c>
      <c r="F152" s="27">
        <v>3</v>
      </c>
      <c r="G152" s="36">
        <v>96.42307578954356</v>
      </c>
      <c r="H152" s="37">
        <v>97.19799006158712</v>
      </c>
      <c r="I152" s="37">
        <v>96.577378065124975</v>
      </c>
      <c r="J152" s="37">
        <v>97.391740407500023</v>
      </c>
      <c r="K152" s="37">
        <v>99.999999999999986</v>
      </c>
      <c r="L152" s="38">
        <v>95.648161517500014</v>
      </c>
      <c r="N152" s="185">
        <f t="shared" si="0"/>
        <v>93.546666666666667</v>
      </c>
      <c r="P152" s="61" t="s">
        <v>30</v>
      </c>
      <c r="Q152" s="66">
        <v>92.644540315497451</v>
      </c>
    </row>
    <row r="153" spans="1:17" s="10" customFormat="1" ht="20.25" customHeight="1" thickBot="1">
      <c r="A153" s="31"/>
      <c r="B153" s="32"/>
      <c r="C153" s="33"/>
      <c r="D153" s="33"/>
      <c r="E153" s="33"/>
      <c r="F153" s="33"/>
      <c r="G153" s="34"/>
      <c r="H153" s="34"/>
      <c r="I153" s="34"/>
      <c r="J153" s="34"/>
      <c r="K153" s="34"/>
      <c r="L153" s="34"/>
      <c r="N153" s="70"/>
      <c r="P153" s="62" t="s">
        <v>31</v>
      </c>
      <c r="Q153" s="66">
        <v>93.546666666666667</v>
      </c>
    </row>
    <row r="154" spans="1:17" ht="20.25" customHeight="1">
      <c r="A154" s="788" t="s">
        <v>38</v>
      </c>
      <c r="B154" s="778" t="s">
        <v>39</v>
      </c>
      <c r="C154" s="778" t="s">
        <v>40</v>
      </c>
      <c r="D154" s="778" t="s">
        <v>41</v>
      </c>
      <c r="E154" s="778" t="s">
        <v>42</v>
      </c>
      <c r="F154" s="778" t="s">
        <v>43</v>
      </c>
      <c r="G154" s="778" t="s">
        <v>37</v>
      </c>
      <c r="H154" s="781" t="s">
        <v>44</v>
      </c>
      <c r="I154" s="782"/>
      <c r="J154" s="782"/>
      <c r="K154" s="783"/>
      <c r="L154" s="784" t="s">
        <v>45</v>
      </c>
      <c r="P154" s="63" t="s">
        <v>34</v>
      </c>
      <c r="Q154" s="68">
        <v>92.976065401218108</v>
      </c>
    </row>
    <row r="155" spans="1:17" ht="20.25" customHeight="1" thickBot="1">
      <c r="A155" s="789"/>
      <c r="B155" s="779"/>
      <c r="C155" s="779"/>
      <c r="D155" s="779"/>
      <c r="E155" s="779"/>
      <c r="F155" s="779"/>
      <c r="G155" s="780"/>
      <c r="H155" s="12" t="s">
        <v>46</v>
      </c>
      <c r="I155" s="12" t="s">
        <v>47</v>
      </c>
      <c r="J155" s="12" t="s">
        <v>48</v>
      </c>
      <c r="K155" s="12" t="s">
        <v>49</v>
      </c>
      <c r="L155" s="785"/>
      <c r="P155" s="64" t="s">
        <v>252</v>
      </c>
      <c r="Q155" s="69">
        <v>92.083944424504978</v>
      </c>
    </row>
    <row r="156" spans="1:17" ht="20.25" customHeight="1">
      <c r="A156" s="790"/>
      <c r="B156" s="780"/>
      <c r="C156" s="780"/>
      <c r="D156" s="780"/>
      <c r="E156" s="780"/>
      <c r="F156" s="780"/>
      <c r="G156" s="12" t="s">
        <v>50</v>
      </c>
      <c r="H156" s="12" t="s">
        <v>50</v>
      </c>
      <c r="I156" s="12" t="s">
        <v>50</v>
      </c>
      <c r="J156" s="12" t="s">
        <v>50</v>
      </c>
      <c r="K156" s="12" t="s">
        <v>50</v>
      </c>
      <c r="L156" s="13" t="s">
        <v>50</v>
      </c>
    </row>
    <row r="157" spans="1:17" ht="20.25" customHeight="1">
      <c r="A157" s="14" t="s">
        <v>51</v>
      </c>
      <c r="B157" s="15" t="s">
        <v>52</v>
      </c>
      <c r="C157" s="15" t="s">
        <v>52</v>
      </c>
      <c r="D157" s="15" t="s">
        <v>52</v>
      </c>
      <c r="E157" s="15" t="s">
        <v>52</v>
      </c>
      <c r="F157" s="15" t="s">
        <v>52</v>
      </c>
      <c r="G157" s="16">
        <v>94.582703666793691</v>
      </c>
      <c r="H157" s="28">
        <v>94.73850471092976</v>
      </c>
      <c r="I157" s="28">
        <v>94.763123699592256</v>
      </c>
      <c r="J157" s="28">
        <v>94.730543560459253</v>
      </c>
      <c r="K157" s="28">
        <v>94.667176560692184</v>
      </c>
      <c r="L157" s="25">
        <v>94.378889837375596</v>
      </c>
    </row>
    <row r="158" spans="1:17" ht="20.25" customHeight="1">
      <c r="A158" s="792" t="s">
        <v>156</v>
      </c>
      <c r="B158" s="29" t="s">
        <v>157</v>
      </c>
      <c r="C158" s="26">
        <v>4</v>
      </c>
      <c r="D158" s="22">
        <v>143</v>
      </c>
      <c r="E158" s="22">
        <v>38</v>
      </c>
      <c r="F158" s="26">
        <v>22</v>
      </c>
      <c r="G158" s="16">
        <v>93.423549302194019</v>
      </c>
      <c r="H158" s="28">
        <v>93.644382573403206</v>
      </c>
      <c r="I158" s="28">
        <v>94.563512280937545</v>
      </c>
      <c r="J158" s="28">
        <v>91.849324247395302</v>
      </c>
      <c r="K158" s="28">
        <v>93.455854872222218</v>
      </c>
      <c r="L158" s="25">
        <v>93.202716030984831</v>
      </c>
    </row>
    <row r="159" spans="1:17" ht="20.25" customHeight="1">
      <c r="A159" s="793"/>
      <c r="B159" s="29" t="s">
        <v>158</v>
      </c>
      <c r="C159" s="26">
        <v>4</v>
      </c>
      <c r="D159" s="22">
        <v>197</v>
      </c>
      <c r="E159" s="22">
        <v>81</v>
      </c>
      <c r="F159" s="26">
        <v>25</v>
      </c>
      <c r="G159" s="16">
        <v>91.747470093672547</v>
      </c>
      <c r="H159" s="28">
        <v>91.434976859979074</v>
      </c>
      <c r="I159" s="28">
        <v>91.492694116052533</v>
      </c>
      <c r="J159" s="28">
        <v>91.535586412821601</v>
      </c>
      <c r="K159" s="28">
        <v>91.002888729999995</v>
      </c>
      <c r="L159" s="25">
        <v>92.059963327366034</v>
      </c>
    </row>
    <row r="160" spans="1:17" ht="20.25" customHeight="1">
      <c r="A160" s="793"/>
      <c r="B160" s="29" t="s">
        <v>159</v>
      </c>
      <c r="C160" s="26">
        <v>4</v>
      </c>
      <c r="D160" s="22">
        <v>165</v>
      </c>
      <c r="E160" s="22">
        <v>54</v>
      </c>
      <c r="F160" s="26">
        <v>23</v>
      </c>
      <c r="G160" s="16">
        <v>92.973546666078619</v>
      </c>
      <c r="H160" s="28">
        <v>92.718442499183041</v>
      </c>
      <c r="I160" s="28">
        <v>91.584967972499982</v>
      </c>
      <c r="J160" s="28">
        <v>94.65769048511909</v>
      </c>
      <c r="K160" s="28">
        <v>93.697694498809511</v>
      </c>
      <c r="L160" s="25">
        <v>93.228650832974182</v>
      </c>
    </row>
    <row r="161" spans="1:12" ht="20.25" customHeight="1">
      <c r="A161" s="793"/>
      <c r="B161" s="29" t="s">
        <v>160</v>
      </c>
      <c r="C161" s="26">
        <v>4</v>
      </c>
      <c r="D161" s="22">
        <v>174</v>
      </c>
      <c r="E161" s="22">
        <v>60</v>
      </c>
      <c r="F161" s="26">
        <v>24</v>
      </c>
      <c r="G161" s="16">
        <v>92.603384680074072</v>
      </c>
      <c r="H161" s="28">
        <v>92.724659829996725</v>
      </c>
      <c r="I161" s="28">
        <v>92.144970199711153</v>
      </c>
      <c r="J161" s="28">
        <v>93.944700504500048</v>
      </c>
      <c r="K161" s="28">
        <v>92.232335638749333</v>
      </c>
      <c r="L161" s="25">
        <v>92.482109530151405</v>
      </c>
    </row>
    <row r="162" spans="1:12" ht="20.25" customHeight="1">
      <c r="A162" s="793"/>
      <c r="B162" s="29" t="s">
        <v>161</v>
      </c>
      <c r="C162" s="26">
        <v>4</v>
      </c>
      <c r="D162" s="22">
        <v>139</v>
      </c>
      <c r="E162" s="22">
        <v>35</v>
      </c>
      <c r="F162" s="26">
        <v>21</v>
      </c>
      <c r="G162" s="16">
        <v>93.452051395970841</v>
      </c>
      <c r="H162" s="28">
        <v>93.438573500068927</v>
      </c>
      <c r="I162" s="28">
        <v>93.675003459807201</v>
      </c>
      <c r="J162" s="28">
        <v>93.299368726000054</v>
      </c>
      <c r="K162" s="28">
        <v>92.745230487921376</v>
      </c>
      <c r="L162" s="25">
        <v>93.465529291872755</v>
      </c>
    </row>
    <row r="163" spans="1:12" ht="20.25" customHeight="1">
      <c r="A163" s="793"/>
      <c r="B163" s="29" t="s">
        <v>162</v>
      </c>
      <c r="C163" s="26">
        <v>4</v>
      </c>
      <c r="D163" s="22">
        <v>75</v>
      </c>
      <c r="E163" s="22">
        <v>11</v>
      </c>
      <c r="F163" s="26">
        <v>14</v>
      </c>
      <c r="G163" s="16">
        <v>94.734087495769629</v>
      </c>
      <c r="H163" s="28">
        <v>95.503467441092084</v>
      </c>
      <c r="I163" s="28">
        <v>96.223883028231299</v>
      </c>
      <c r="J163" s="28">
        <v>94.36153493619409</v>
      </c>
      <c r="K163" s="28">
        <v>95.125291210156263</v>
      </c>
      <c r="L163" s="25">
        <v>93.964707550447173</v>
      </c>
    </row>
    <row r="164" spans="1:12" ht="20.25" customHeight="1">
      <c r="A164" s="793"/>
      <c r="B164" s="29" t="s">
        <v>163</v>
      </c>
      <c r="C164" s="26">
        <v>4</v>
      </c>
      <c r="D164" s="22">
        <v>103</v>
      </c>
      <c r="E164" s="22">
        <v>22</v>
      </c>
      <c r="F164" s="26">
        <v>17</v>
      </c>
      <c r="G164" s="16">
        <v>94.238743904806626</v>
      </c>
      <c r="H164" s="28">
        <v>95.429979504207154</v>
      </c>
      <c r="I164" s="28">
        <v>94.515815675509018</v>
      </c>
      <c r="J164" s="28">
        <v>95.537292085849103</v>
      </c>
      <c r="K164" s="28">
        <v>98.164679303576904</v>
      </c>
      <c r="L164" s="25">
        <v>93.047508305406083</v>
      </c>
    </row>
    <row r="165" spans="1:12" ht="20.25" customHeight="1">
      <c r="A165" s="793"/>
      <c r="B165" s="29" t="s">
        <v>164</v>
      </c>
      <c r="C165" s="26">
        <v>5</v>
      </c>
      <c r="D165" s="22">
        <v>23</v>
      </c>
      <c r="E165" s="22">
        <v>23</v>
      </c>
      <c r="F165" s="26">
        <v>6</v>
      </c>
      <c r="G165" s="16">
        <v>95.944950833354255</v>
      </c>
      <c r="H165" s="28">
        <v>95.92053062576295</v>
      </c>
      <c r="I165" s="28">
        <v>95.275124005198677</v>
      </c>
      <c r="J165" s="28">
        <v>97.594523715517241</v>
      </c>
      <c r="K165" s="28">
        <v>95.077045407352941</v>
      </c>
      <c r="L165" s="25">
        <v>95.969371040945546</v>
      </c>
    </row>
    <row r="166" spans="1:12" ht="20.25" customHeight="1">
      <c r="A166" s="793"/>
      <c r="B166" s="29" t="s">
        <v>165</v>
      </c>
      <c r="C166" s="26">
        <v>5</v>
      </c>
      <c r="D166" s="22">
        <v>59</v>
      </c>
      <c r="E166" s="22">
        <v>54</v>
      </c>
      <c r="F166" s="26">
        <v>12</v>
      </c>
      <c r="G166" s="16">
        <v>95.107181577185145</v>
      </c>
      <c r="H166" s="28">
        <v>97.36030768790323</v>
      </c>
      <c r="I166" s="28">
        <v>97.382750978723394</v>
      </c>
      <c r="J166" s="28">
        <v>96.530610930357156</v>
      </c>
      <c r="K166" s="28">
        <v>98.592345162499996</v>
      </c>
      <c r="L166" s="25">
        <v>92.854055466467074</v>
      </c>
    </row>
    <row r="167" spans="1:12" ht="20.25" customHeight="1">
      <c r="A167" s="793"/>
      <c r="B167" s="29" t="s">
        <v>166</v>
      </c>
      <c r="C167" s="26">
        <v>5</v>
      </c>
      <c r="D167" s="22">
        <v>16</v>
      </c>
      <c r="E167" s="22">
        <v>16</v>
      </c>
      <c r="F167" s="26">
        <v>2</v>
      </c>
      <c r="G167" s="16">
        <v>96.151606335980858</v>
      </c>
      <c r="H167" s="28">
        <v>96.323592627575138</v>
      </c>
      <c r="I167" s="28">
        <v>98.19334367492182</v>
      </c>
      <c r="J167" s="28">
        <v>93.436302336206907</v>
      </c>
      <c r="K167" s="28">
        <v>94.759834195588226</v>
      </c>
      <c r="L167" s="25">
        <v>95.979620044386593</v>
      </c>
    </row>
    <row r="168" spans="1:12" ht="20.25" customHeight="1">
      <c r="A168" s="793"/>
      <c r="B168" s="29" t="s">
        <v>167</v>
      </c>
      <c r="C168" s="26">
        <v>5</v>
      </c>
      <c r="D168" s="22">
        <v>26</v>
      </c>
      <c r="E168" s="22">
        <v>26</v>
      </c>
      <c r="F168" s="26">
        <v>8</v>
      </c>
      <c r="G168" s="16">
        <v>95.825842574401676</v>
      </c>
      <c r="H168" s="28">
        <v>96.017484179301078</v>
      </c>
      <c r="I168" s="28">
        <v>96.567883992999995</v>
      </c>
      <c r="J168" s="28">
        <v>95.395954259722259</v>
      </c>
      <c r="K168" s="28">
        <v>95.282496524999985</v>
      </c>
      <c r="L168" s="25">
        <v>95.634200969502274</v>
      </c>
    </row>
    <row r="169" spans="1:12" ht="20.25" customHeight="1">
      <c r="A169" s="793"/>
      <c r="B169" s="29" t="s">
        <v>168</v>
      </c>
      <c r="C169" s="26">
        <v>5</v>
      </c>
      <c r="D169" s="22">
        <v>40</v>
      </c>
      <c r="E169" s="22">
        <v>39</v>
      </c>
      <c r="F169" s="26">
        <v>11</v>
      </c>
      <c r="G169" s="16">
        <v>95.471882149846635</v>
      </c>
      <c r="H169" s="28">
        <v>95.674113746809709</v>
      </c>
      <c r="I169" s="28">
        <v>97.169868104632357</v>
      </c>
      <c r="J169" s="28">
        <v>94.928035894166683</v>
      </c>
      <c r="K169" s="28">
        <v>91.725854095454551</v>
      </c>
      <c r="L169" s="25">
        <v>95.269650552883562</v>
      </c>
    </row>
    <row r="170" spans="1:12" ht="20.25" customHeight="1">
      <c r="A170" s="793"/>
      <c r="B170" s="29" t="s">
        <v>169</v>
      </c>
      <c r="C170" s="26">
        <v>5</v>
      </c>
      <c r="D170" s="22">
        <v>69</v>
      </c>
      <c r="E170" s="22">
        <v>60</v>
      </c>
      <c r="F170" s="26">
        <v>13</v>
      </c>
      <c r="G170" s="16">
        <v>94.940211306764184</v>
      </c>
      <c r="H170" s="28">
        <v>94.666709065468822</v>
      </c>
      <c r="I170" s="28">
        <v>95.001666930762909</v>
      </c>
      <c r="J170" s="28">
        <v>94.306765949390282</v>
      </c>
      <c r="K170" s="28">
        <v>94.31803658369563</v>
      </c>
      <c r="L170" s="25">
        <v>95.21371354805953</v>
      </c>
    </row>
    <row r="171" spans="1:12" ht="20.25" customHeight="1">
      <c r="A171" s="793"/>
      <c r="B171" s="29" t="s">
        <v>170</v>
      </c>
      <c r="C171" s="26">
        <v>5</v>
      </c>
      <c r="D171" s="22">
        <v>27</v>
      </c>
      <c r="E171" s="22">
        <v>27</v>
      </c>
      <c r="F171" s="26">
        <v>9</v>
      </c>
      <c r="G171" s="16">
        <v>95.790220813631805</v>
      </c>
      <c r="H171" s="28">
        <v>96.085027708763562</v>
      </c>
      <c r="I171" s="28">
        <v>96.725627432548322</v>
      </c>
      <c r="J171" s="28">
        <v>95.683402667500019</v>
      </c>
      <c r="K171" s="28">
        <v>94.520525271428568</v>
      </c>
      <c r="L171" s="25">
        <v>95.495413918500034</v>
      </c>
    </row>
    <row r="172" spans="1:12" ht="20.25" customHeight="1">
      <c r="A172" s="793"/>
      <c r="B172" s="29" t="s">
        <v>171</v>
      </c>
      <c r="C172" s="26">
        <v>5</v>
      </c>
      <c r="D172" s="22">
        <v>18</v>
      </c>
      <c r="E172" s="22">
        <v>18</v>
      </c>
      <c r="F172" s="26">
        <v>3</v>
      </c>
      <c r="G172" s="16">
        <v>96.104371957853459</v>
      </c>
      <c r="H172" s="28">
        <v>96.256120304261401</v>
      </c>
      <c r="I172" s="28">
        <v>96.044234925568162</v>
      </c>
      <c r="J172" s="28">
        <v>98.149836504629647</v>
      </c>
      <c r="K172" s="28">
        <v>93.796862613235277</v>
      </c>
      <c r="L172" s="25">
        <v>95.952623611445517</v>
      </c>
    </row>
    <row r="173" spans="1:12" ht="20.25" customHeight="1">
      <c r="A173" s="793"/>
      <c r="B173" s="29" t="s">
        <v>172</v>
      </c>
      <c r="C173" s="26">
        <v>5</v>
      </c>
      <c r="D173" s="22">
        <v>24</v>
      </c>
      <c r="E173" s="22">
        <v>24</v>
      </c>
      <c r="F173" s="26">
        <v>7</v>
      </c>
      <c r="G173" s="16">
        <v>95.898558371881137</v>
      </c>
      <c r="H173" s="28">
        <v>96.029576516448728</v>
      </c>
      <c r="I173" s="28">
        <v>96.115800145645593</v>
      </c>
      <c r="J173" s="28">
        <v>95.651854436428593</v>
      </c>
      <c r="K173" s="28">
        <v>96.606271213333315</v>
      </c>
      <c r="L173" s="25">
        <v>95.767540227313532</v>
      </c>
    </row>
    <row r="174" spans="1:12" ht="20.25" customHeight="1">
      <c r="A174" s="793"/>
      <c r="B174" s="29" t="s">
        <v>173</v>
      </c>
      <c r="C174" s="26">
        <v>5</v>
      </c>
      <c r="D174" s="22">
        <v>20</v>
      </c>
      <c r="E174" s="22">
        <v>20</v>
      </c>
      <c r="F174" s="26">
        <v>4</v>
      </c>
      <c r="G174" s="16">
        <v>96.091867079911339</v>
      </c>
      <c r="H174" s="28">
        <v>96.277021515322673</v>
      </c>
      <c r="I174" s="28">
        <v>96.388400582684241</v>
      </c>
      <c r="J174" s="28">
        <v>96.742715231060615</v>
      </c>
      <c r="K174" s="28">
        <v>94.757665573214283</v>
      </c>
      <c r="L174" s="25">
        <v>95.906712644500004</v>
      </c>
    </row>
    <row r="175" spans="1:12" ht="20.25" customHeight="1">
      <c r="A175" s="793"/>
      <c r="B175" s="29" t="s">
        <v>174</v>
      </c>
      <c r="C175" s="26">
        <v>5</v>
      </c>
      <c r="D175" s="22">
        <v>76</v>
      </c>
      <c r="E175" s="22">
        <v>65</v>
      </c>
      <c r="F175" s="26">
        <v>15</v>
      </c>
      <c r="G175" s="16">
        <v>94.722142322237701</v>
      </c>
      <c r="H175" s="28">
        <v>95.209264391717582</v>
      </c>
      <c r="I175" s="28">
        <v>93.259492399932057</v>
      </c>
      <c r="J175" s="28">
        <v>97.564470154464303</v>
      </c>
      <c r="K175" s="28">
        <v>96.869413772368418</v>
      </c>
      <c r="L175" s="25">
        <v>94.23502025275782</v>
      </c>
    </row>
    <row r="176" spans="1:12" ht="20.25" customHeight="1">
      <c r="A176" s="793"/>
      <c r="B176" s="29" t="s">
        <v>175</v>
      </c>
      <c r="C176" s="26">
        <v>5</v>
      </c>
      <c r="D176" s="22">
        <v>79</v>
      </c>
      <c r="E176" s="22">
        <v>68</v>
      </c>
      <c r="F176" s="26">
        <v>16</v>
      </c>
      <c r="G176" s="16">
        <v>94.658270956874048</v>
      </c>
      <c r="H176" s="28">
        <v>94.132287229207932</v>
      </c>
      <c r="I176" s="28">
        <v>93.710199765566017</v>
      </c>
      <c r="J176" s="28">
        <v>93.597287943965512</v>
      </c>
      <c r="K176" s="28">
        <v>96.126266957894742</v>
      </c>
      <c r="L176" s="25">
        <v>95.184254684540178</v>
      </c>
    </row>
    <row r="177" spans="1:12" ht="20.25" customHeight="1">
      <c r="A177" s="793"/>
      <c r="B177" s="29" t="s">
        <v>176</v>
      </c>
      <c r="C177" s="26">
        <v>5</v>
      </c>
      <c r="D177" s="22">
        <v>123</v>
      </c>
      <c r="E177" s="22">
        <v>93</v>
      </c>
      <c r="F177" s="26">
        <v>19</v>
      </c>
      <c r="G177" s="16">
        <v>93.794944729760942</v>
      </c>
      <c r="H177" s="28">
        <v>95.667390967646881</v>
      </c>
      <c r="I177" s="28">
        <v>96.853114571109543</v>
      </c>
      <c r="J177" s="28">
        <v>93.369777786205432</v>
      </c>
      <c r="K177" s="28">
        <v>96.096925471052629</v>
      </c>
      <c r="L177" s="25">
        <v>91.922498491875018</v>
      </c>
    </row>
    <row r="178" spans="1:12" ht="20.25" customHeight="1">
      <c r="A178" s="793"/>
      <c r="B178" s="29" t="s">
        <v>177</v>
      </c>
      <c r="C178" s="26">
        <v>5</v>
      </c>
      <c r="D178" s="22">
        <v>109</v>
      </c>
      <c r="E178" s="22">
        <v>85</v>
      </c>
      <c r="F178" s="26">
        <v>18</v>
      </c>
      <c r="G178" s="16">
        <v>94.179164573271109</v>
      </c>
      <c r="H178" s="28">
        <v>93.74954833665555</v>
      </c>
      <c r="I178" s="28">
        <v>92.825041995260904</v>
      </c>
      <c r="J178" s="28">
        <v>96.776912322023861</v>
      </c>
      <c r="K178" s="28">
        <v>90.512214802631576</v>
      </c>
      <c r="L178" s="25">
        <v>94.608780809886667</v>
      </c>
    </row>
    <row r="179" spans="1:12" ht="20.25" customHeight="1">
      <c r="A179" s="793"/>
      <c r="B179" s="29" t="s">
        <v>178</v>
      </c>
      <c r="C179" s="26">
        <v>5</v>
      </c>
      <c r="D179" s="22">
        <v>15</v>
      </c>
      <c r="E179" s="22">
        <v>15</v>
      </c>
      <c r="F179" s="26">
        <v>1</v>
      </c>
      <c r="G179" s="16">
        <v>96.15388801583147</v>
      </c>
      <c r="H179" s="28">
        <v>95.855690632608727</v>
      </c>
      <c r="I179" s="28">
        <v>94.745219631355923</v>
      </c>
      <c r="J179" s="28">
        <v>96.46728321283787</v>
      </c>
      <c r="K179" s="28">
        <v>98.112999243421044</v>
      </c>
      <c r="L179" s="25">
        <v>96.452085399054212</v>
      </c>
    </row>
    <row r="180" spans="1:12" ht="20.25" customHeight="1">
      <c r="A180" s="793"/>
      <c r="B180" s="29" t="s">
        <v>179</v>
      </c>
      <c r="C180" s="26">
        <v>5</v>
      </c>
      <c r="D180" s="22">
        <v>21</v>
      </c>
      <c r="E180" s="22">
        <v>21</v>
      </c>
      <c r="F180" s="26">
        <v>5</v>
      </c>
      <c r="G180" s="16">
        <v>96.050940381524896</v>
      </c>
      <c r="H180" s="28">
        <v>95.957081511981229</v>
      </c>
      <c r="I180" s="28">
        <v>96.592824505743593</v>
      </c>
      <c r="J180" s="28">
        <v>93.95602209435485</v>
      </c>
      <c r="K180" s="28">
        <v>97.847437278125</v>
      </c>
      <c r="L180" s="25">
        <v>96.144799251068562</v>
      </c>
    </row>
    <row r="181" spans="1:12" ht="20.25" customHeight="1">
      <c r="A181" s="793"/>
      <c r="B181" s="29" t="s">
        <v>180</v>
      </c>
      <c r="C181" s="26">
        <v>5</v>
      </c>
      <c r="D181" s="22">
        <v>37</v>
      </c>
      <c r="E181" s="22">
        <v>36</v>
      </c>
      <c r="F181" s="26">
        <v>10</v>
      </c>
      <c r="G181" s="16">
        <v>95.513549355025987</v>
      </c>
      <c r="H181" s="28">
        <v>94.433839876254737</v>
      </c>
      <c r="I181" s="28">
        <v>95.333160226036668</v>
      </c>
      <c r="J181" s="28">
        <v>92.172386137162192</v>
      </c>
      <c r="K181" s="28">
        <v>96.760167097916664</v>
      </c>
      <c r="L181" s="25">
        <v>96.593258833797222</v>
      </c>
    </row>
    <row r="182" spans="1:12" ht="20.25" customHeight="1" thickBot="1">
      <c r="A182" s="794"/>
      <c r="B182" s="35" t="s">
        <v>181</v>
      </c>
      <c r="C182" s="27">
        <v>5</v>
      </c>
      <c r="D182" s="24">
        <v>125</v>
      </c>
      <c r="E182" s="24">
        <v>95</v>
      </c>
      <c r="F182" s="27">
        <v>20</v>
      </c>
      <c r="G182" s="36">
        <v>93.730519444922919</v>
      </c>
      <c r="H182" s="37">
        <v>94.943159974666685</v>
      </c>
      <c r="I182" s="37">
        <v>94.308371325657887</v>
      </c>
      <c r="J182" s="37">
        <v>98.365632035416681</v>
      </c>
      <c r="K182" s="37">
        <v>90.480286067307688</v>
      </c>
      <c r="L182" s="38">
        <v>92.517878915179153</v>
      </c>
    </row>
    <row r="183" spans="1:12" ht="20.25" customHeight="1" thickBot="1"/>
    <row r="184" spans="1:12" ht="20.25" customHeight="1">
      <c r="A184" s="788" t="s">
        <v>38</v>
      </c>
      <c r="B184" s="778" t="s">
        <v>39</v>
      </c>
      <c r="C184" s="778" t="s">
        <v>40</v>
      </c>
      <c r="D184" s="778" t="s">
        <v>41</v>
      </c>
      <c r="E184" s="778" t="s">
        <v>42</v>
      </c>
      <c r="F184" s="778" t="s">
        <v>43</v>
      </c>
      <c r="G184" s="778" t="s">
        <v>37</v>
      </c>
      <c r="H184" s="781" t="s">
        <v>44</v>
      </c>
      <c r="I184" s="782"/>
      <c r="J184" s="782"/>
      <c r="K184" s="783"/>
      <c r="L184" s="784" t="s">
        <v>45</v>
      </c>
    </row>
    <row r="185" spans="1:12" ht="20.25" customHeight="1">
      <c r="A185" s="789"/>
      <c r="B185" s="779"/>
      <c r="C185" s="779"/>
      <c r="D185" s="779"/>
      <c r="E185" s="779"/>
      <c r="F185" s="779"/>
      <c r="G185" s="780"/>
      <c r="H185" s="12" t="s">
        <v>46</v>
      </c>
      <c r="I185" s="12" t="s">
        <v>47</v>
      </c>
      <c r="J185" s="12" t="s">
        <v>48</v>
      </c>
      <c r="K185" s="12" t="s">
        <v>49</v>
      </c>
      <c r="L185" s="785"/>
    </row>
    <row r="186" spans="1:12" ht="20.25" customHeight="1">
      <c r="A186" s="790"/>
      <c r="B186" s="780"/>
      <c r="C186" s="780"/>
      <c r="D186" s="780"/>
      <c r="E186" s="780"/>
      <c r="F186" s="780"/>
      <c r="G186" s="12" t="s">
        <v>50</v>
      </c>
      <c r="H186" s="12" t="s">
        <v>50</v>
      </c>
      <c r="I186" s="12" t="s">
        <v>50</v>
      </c>
      <c r="J186" s="12" t="s">
        <v>50</v>
      </c>
      <c r="K186" s="12" t="s">
        <v>50</v>
      </c>
      <c r="L186" s="13" t="s">
        <v>50</v>
      </c>
    </row>
    <row r="187" spans="1:12" ht="20.25" customHeight="1">
      <c r="A187" s="14" t="s">
        <v>51</v>
      </c>
      <c r="B187" s="15" t="s">
        <v>52</v>
      </c>
      <c r="C187" s="15" t="s">
        <v>52</v>
      </c>
      <c r="D187" s="15" t="s">
        <v>52</v>
      </c>
      <c r="E187" s="15" t="s">
        <v>52</v>
      </c>
      <c r="F187" s="15" t="s">
        <v>52</v>
      </c>
      <c r="G187" s="16">
        <v>94.68371908090559</v>
      </c>
      <c r="H187" s="28">
        <v>94.82537550660858</v>
      </c>
      <c r="I187" s="28">
        <v>95.055132212474888</v>
      </c>
      <c r="J187" s="28">
        <v>94.775053508421294</v>
      </c>
      <c r="K187" s="28">
        <v>94.034626519785519</v>
      </c>
      <c r="L187" s="25">
        <v>94.470061699663447</v>
      </c>
    </row>
    <row r="188" spans="1:12" ht="20.25" customHeight="1">
      <c r="A188" s="786" t="s">
        <v>182</v>
      </c>
      <c r="B188" s="29" t="s">
        <v>183</v>
      </c>
      <c r="C188" s="26">
        <v>4</v>
      </c>
      <c r="D188" s="22">
        <v>161</v>
      </c>
      <c r="E188" s="22">
        <v>50</v>
      </c>
      <c r="F188" s="26">
        <v>28</v>
      </c>
      <c r="G188" s="16">
        <v>93.029089439842807</v>
      </c>
      <c r="H188" s="28">
        <v>94.784608933185424</v>
      </c>
      <c r="I188" s="28">
        <v>94.666458062628124</v>
      </c>
      <c r="J188" s="28">
        <v>96.685063964473727</v>
      </c>
      <c r="K188" s="28">
        <v>91.356806882894759</v>
      </c>
      <c r="L188" s="25">
        <v>91.273569946500189</v>
      </c>
    </row>
    <row r="189" spans="1:12" ht="20.25" customHeight="1">
      <c r="A189" s="791"/>
      <c r="B189" s="29" t="s">
        <v>184</v>
      </c>
      <c r="C189" s="26">
        <v>4</v>
      </c>
      <c r="D189" s="22">
        <v>62</v>
      </c>
      <c r="E189" s="22">
        <v>7</v>
      </c>
      <c r="F189" s="26">
        <v>13</v>
      </c>
      <c r="G189" s="16">
        <v>95.039049848559671</v>
      </c>
      <c r="H189" s="28">
        <v>95.114476598690786</v>
      </c>
      <c r="I189" s="28">
        <v>95.274261118275092</v>
      </c>
      <c r="J189" s="28">
        <v>94.962448116666721</v>
      </c>
      <c r="K189" s="28">
        <v>94.834544462499991</v>
      </c>
      <c r="L189" s="25">
        <v>94.96362309842857</v>
      </c>
    </row>
    <row r="190" spans="1:12" ht="20.25" customHeight="1">
      <c r="A190" s="791"/>
      <c r="B190" s="29" t="s">
        <v>185</v>
      </c>
      <c r="C190" s="26">
        <v>4</v>
      </c>
      <c r="D190" s="22">
        <v>98</v>
      </c>
      <c r="E190" s="22">
        <v>20</v>
      </c>
      <c r="F190" s="26">
        <v>20</v>
      </c>
      <c r="G190" s="16">
        <v>94.371863701152392</v>
      </c>
      <c r="H190" s="28">
        <v>93.631203936298363</v>
      </c>
      <c r="I190" s="28">
        <v>93.755298538210624</v>
      </c>
      <c r="J190" s="28">
        <v>94.138653355882397</v>
      </c>
      <c r="K190" s="28">
        <v>92.134526054411765</v>
      </c>
      <c r="L190" s="25">
        <v>95.112523466006408</v>
      </c>
    </row>
    <row r="191" spans="1:12" ht="20.25" customHeight="1">
      <c r="A191" s="791"/>
      <c r="B191" s="29" t="s">
        <v>186</v>
      </c>
      <c r="C191" s="26">
        <v>4</v>
      </c>
      <c r="D191" s="22">
        <v>116</v>
      </c>
      <c r="E191" s="22">
        <v>27</v>
      </c>
      <c r="F191" s="26">
        <v>24</v>
      </c>
      <c r="G191" s="16">
        <v>94.015577202107238</v>
      </c>
      <c r="H191" s="28">
        <v>94.194548847341764</v>
      </c>
      <c r="I191" s="28">
        <v>93.612880936055348</v>
      </c>
      <c r="J191" s="28">
        <v>95.98119292586162</v>
      </c>
      <c r="K191" s="28">
        <v>92.745613061956504</v>
      </c>
      <c r="L191" s="25">
        <v>93.836605556872726</v>
      </c>
    </row>
    <row r="192" spans="1:12" ht="20.25" customHeight="1">
      <c r="A192" s="791"/>
      <c r="B192" s="29" t="s">
        <v>187</v>
      </c>
      <c r="C192" s="26">
        <v>4</v>
      </c>
      <c r="D192" s="22">
        <v>140</v>
      </c>
      <c r="E192" s="22">
        <v>36</v>
      </c>
      <c r="F192" s="26">
        <v>25</v>
      </c>
      <c r="G192" s="16">
        <v>93.443773696984749</v>
      </c>
      <c r="H192" s="28">
        <v>92.898721631725437</v>
      </c>
      <c r="I192" s="28">
        <v>94.011541675675645</v>
      </c>
      <c r="J192" s="28">
        <v>91.637169807095063</v>
      </c>
      <c r="K192" s="28">
        <v>91.430546300833328</v>
      </c>
      <c r="L192" s="25">
        <v>93.988825762244076</v>
      </c>
    </row>
    <row r="193" spans="1:12" ht="20.25" customHeight="1">
      <c r="A193" s="791"/>
      <c r="B193" s="29" t="s">
        <v>188</v>
      </c>
      <c r="C193" s="26">
        <v>4</v>
      </c>
      <c r="D193" s="22">
        <v>153</v>
      </c>
      <c r="E193" s="22">
        <v>43</v>
      </c>
      <c r="F193" s="26">
        <v>27</v>
      </c>
      <c r="G193" s="16">
        <v>93.230131345697643</v>
      </c>
      <c r="H193" s="28">
        <v>93.359992505206819</v>
      </c>
      <c r="I193" s="28">
        <v>91.90069520826107</v>
      </c>
      <c r="J193" s="28">
        <v>94.543124136458403</v>
      </c>
      <c r="K193" s="28">
        <v>96.466094106249997</v>
      </c>
      <c r="L193" s="25">
        <v>93.100270186188467</v>
      </c>
    </row>
    <row r="194" spans="1:12" ht="20.25" customHeight="1">
      <c r="A194" s="791"/>
      <c r="B194" s="29" t="s">
        <v>189</v>
      </c>
      <c r="C194" s="26">
        <v>4</v>
      </c>
      <c r="D194" s="22">
        <v>162</v>
      </c>
      <c r="E194" s="22">
        <v>51</v>
      </c>
      <c r="F194" s="26">
        <v>29</v>
      </c>
      <c r="G194" s="16">
        <v>93.020580251859457</v>
      </c>
      <c r="H194" s="28">
        <v>95.032681533786501</v>
      </c>
      <c r="I194" s="28">
        <v>95.324759727691983</v>
      </c>
      <c r="J194" s="28">
        <v>95.747173654729806</v>
      </c>
      <c r="K194" s="28">
        <v>92.014331401666652</v>
      </c>
      <c r="L194" s="25">
        <v>91.008478969932412</v>
      </c>
    </row>
    <row r="195" spans="1:12" ht="20.25" customHeight="1">
      <c r="A195" s="791"/>
      <c r="B195" s="29" t="s">
        <v>190</v>
      </c>
      <c r="C195" s="26">
        <v>4</v>
      </c>
      <c r="D195" s="22">
        <v>96</v>
      </c>
      <c r="E195" s="22">
        <v>19</v>
      </c>
      <c r="F195" s="26">
        <v>18</v>
      </c>
      <c r="G195" s="16">
        <v>94.402567737820064</v>
      </c>
      <c r="H195" s="28">
        <v>93.993615568687588</v>
      </c>
      <c r="I195" s="28">
        <v>92.853259828617396</v>
      </c>
      <c r="J195" s="28">
        <v>96.228819247177483</v>
      </c>
      <c r="K195" s="28">
        <v>92.95775922499999</v>
      </c>
      <c r="L195" s="25">
        <v>94.81151990695254</v>
      </c>
    </row>
    <row r="196" spans="1:12" ht="20.25" customHeight="1">
      <c r="A196" s="791"/>
      <c r="B196" s="29" t="s">
        <v>191</v>
      </c>
      <c r="C196" s="26">
        <v>4</v>
      </c>
      <c r="D196" s="22">
        <v>172</v>
      </c>
      <c r="E196" s="22">
        <v>59</v>
      </c>
      <c r="F196" s="26">
        <v>31</v>
      </c>
      <c r="G196" s="16">
        <v>92.693350338653971</v>
      </c>
      <c r="H196" s="28">
        <v>93.965478014385511</v>
      </c>
      <c r="I196" s="28">
        <v>95.161701608593731</v>
      </c>
      <c r="J196" s="28">
        <v>93.048747080603505</v>
      </c>
      <c r="K196" s="28">
        <v>91.498795178999984</v>
      </c>
      <c r="L196" s="25">
        <v>91.421222662922446</v>
      </c>
    </row>
    <row r="197" spans="1:12" ht="20.25" customHeight="1">
      <c r="A197" s="791"/>
      <c r="B197" s="29" t="s">
        <v>192</v>
      </c>
      <c r="C197" s="26">
        <v>4</v>
      </c>
      <c r="D197" s="22">
        <v>169</v>
      </c>
      <c r="E197" s="22">
        <v>57</v>
      </c>
      <c r="F197" s="26">
        <v>30</v>
      </c>
      <c r="G197" s="16">
        <v>92.819591934101254</v>
      </c>
      <c r="H197" s="28">
        <v>95.278107442755299</v>
      </c>
      <c r="I197" s="28">
        <v>96.047281929796654</v>
      </c>
      <c r="J197" s="28">
        <v>95.745034063595853</v>
      </c>
      <c r="K197" s="28">
        <v>91.259884717000006</v>
      </c>
      <c r="L197" s="25">
        <v>90.361076425447209</v>
      </c>
    </row>
    <row r="198" spans="1:12" ht="20.25" customHeight="1">
      <c r="A198" s="791"/>
      <c r="B198" s="29" t="s">
        <v>193</v>
      </c>
      <c r="C198" s="26">
        <v>4</v>
      </c>
      <c r="D198" s="22">
        <v>115</v>
      </c>
      <c r="E198" s="22">
        <v>26</v>
      </c>
      <c r="F198" s="26">
        <v>23</v>
      </c>
      <c r="G198" s="16">
        <v>94.034413435228458</v>
      </c>
      <c r="H198" s="28">
        <v>94.006994917435449</v>
      </c>
      <c r="I198" s="28">
        <v>94.507894163272937</v>
      </c>
      <c r="J198" s="28">
        <v>91.852420505612287</v>
      </c>
      <c r="K198" s="28">
        <v>96.551773137499993</v>
      </c>
      <c r="L198" s="25">
        <v>94.061831953021482</v>
      </c>
    </row>
    <row r="199" spans="1:12" ht="20.25" customHeight="1">
      <c r="A199" s="791"/>
      <c r="B199" s="29" t="s">
        <v>194</v>
      </c>
      <c r="C199" s="26">
        <v>5</v>
      </c>
      <c r="D199" s="22">
        <v>87</v>
      </c>
      <c r="E199" s="39">
        <v>73</v>
      </c>
      <c r="F199" s="26">
        <v>17</v>
      </c>
      <c r="G199" s="16">
        <v>94.55796529779613</v>
      </c>
      <c r="H199" s="28">
        <v>93.407141956625139</v>
      </c>
      <c r="I199" s="28">
        <v>93.290610476785702</v>
      </c>
      <c r="J199" s="28">
        <v>93.300950970064619</v>
      </c>
      <c r="K199" s="28">
        <v>94.089971783333326</v>
      </c>
      <c r="L199" s="25">
        <v>95.708788638967121</v>
      </c>
    </row>
    <row r="200" spans="1:12" ht="20.25" customHeight="1">
      <c r="A200" s="791"/>
      <c r="B200" s="29" t="s">
        <v>195</v>
      </c>
      <c r="C200" s="26">
        <v>5</v>
      </c>
      <c r="D200" s="22">
        <v>4</v>
      </c>
      <c r="E200" s="22">
        <v>4</v>
      </c>
      <c r="F200" s="26">
        <v>3</v>
      </c>
      <c r="G200" s="16">
        <v>96.703452562459134</v>
      </c>
      <c r="H200" s="28">
        <v>95.168227990135378</v>
      </c>
      <c r="I200" s="28">
        <v>95.22909197778381</v>
      </c>
      <c r="J200" s="28">
        <v>95.758775058888958</v>
      </c>
      <c r="K200" s="28">
        <v>93.679602030952367</v>
      </c>
      <c r="L200" s="25">
        <v>98.23867713478289</v>
      </c>
    </row>
    <row r="201" spans="1:12" ht="20.25" customHeight="1">
      <c r="A201" s="791"/>
      <c r="B201" s="29" t="s">
        <v>196</v>
      </c>
      <c r="C201" s="26">
        <v>5</v>
      </c>
      <c r="D201" s="22">
        <v>97</v>
      </c>
      <c r="E201" s="22">
        <v>78</v>
      </c>
      <c r="F201" s="26">
        <v>19</v>
      </c>
      <c r="G201" s="16">
        <v>94.399241629722198</v>
      </c>
      <c r="H201" s="28">
        <v>94.399241629722198</v>
      </c>
      <c r="I201" s="28">
        <v>94.233594183490567</v>
      </c>
      <c r="J201" s="28">
        <v>96.644552494565218</v>
      </c>
      <c r="K201" s="28">
        <v>91.337610541071413</v>
      </c>
      <c r="L201" s="25" t="s">
        <v>52</v>
      </c>
    </row>
    <row r="202" spans="1:12" ht="20.25" customHeight="1">
      <c r="A202" s="791"/>
      <c r="B202" s="29" t="s">
        <v>197</v>
      </c>
      <c r="C202" s="26">
        <v>5</v>
      </c>
      <c r="D202" s="22">
        <v>142</v>
      </c>
      <c r="E202" s="22">
        <v>105</v>
      </c>
      <c r="F202" s="26">
        <v>26</v>
      </c>
      <c r="G202" s="16">
        <v>93.423687575068271</v>
      </c>
      <c r="H202" s="28">
        <v>93.158318710822968</v>
      </c>
      <c r="I202" s="28">
        <v>94.535271436645985</v>
      </c>
      <c r="J202" s="28">
        <v>88.05495031374997</v>
      </c>
      <c r="K202" s="28">
        <v>96.749920213333326</v>
      </c>
      <c r="L202" s="25">
        <v>93.689056439313561</v>
      </c>
    </row>
    <row r="203" spans="1:12" ht="20.25" customHeight="1">
      <c r="A203" s="791"/>
      <c r="B203" s="29" t="s">
        <v>198</v>
      </c>
      <c r="C203" s="26">
        <v>5</v>
      </c>
      <c r="D203" s="22">
        <v>42</v>
      </c>
      <c r="E203" s="22">
        <v>41</v>
      </c>
      <c r="F203" s="26">
        <v>11</v>
      </c>
      <c r="G203" s="16">
        <v>95.383562278027711</v>
      </c>
      <c r="H203" s="28">
        <v>94.937144990501196</v>
      </c>
      <c r="I203" s="28">
        <v>95.309447083826782</v>
      </c>
      <c r="J203" s="28">
        <v>95.286051034444483</v>
      </c>
      <c r="K203" s="28">
        <v>92.327260686764689</v>
      </c>
      <c r="L203" s="25">
        <v>95.82997956555424</v>
      </c>
    </row>
    <row r="204" spans="1:12" ht="20.25" customHeight="1">
      <c r="A204" s="791"/>
      <c r="B204" s="29" t="s">
        <v>199</v>
      </c>
      <c r="C204" s="26">
        <v>5</v>
      </c>
      <c r="D204" s="22">
        <v>77</v>
      </c>
      <c r="E204" s="22">
        <v>66</v>
      </c>
      <c r="F204" s="26">
        <v>15</v>
      </c>
      <c r="G204" s="16">
        <v>94.710468235010694</v>
      </c>
      <c r="H204" s="28">
        <v>96.395565630532815</v>
      </c>
      <c r="I204" s="28">
        <v>96.952388005147043</v>
      </c>
      <c r="J204" s="28">
        <v>96.428317703947386</v>
      </c>
      <c r="K204" s="28">
        <v>93.951284364062488</v>
      </c>
      <c r="L204" s="25">
        <v>93.025370839488588</v>
      </c>
    </row>
    <row r="205" spans="1:12" ht="20.25" customHeight="1">
      <c r="A205" s="791"/>
      <c r="B205" s="29" t="s">
        <v>200</v>
      </c>
      <c r="C205" s="26">
        <v>5</v>
      </c>
      <c r="D205" s="22">
        <v>2</v>
      </c>
      <c r="E205" s="22">
        <v>2</v>
      </c>
      <c r="F205" s="26">
        <v>2</v>
      </c>
      <c r="G205" s="16">
        <v>97.16149132396626</v>
      </c>
      <c r="H205" s="28">
        <v>97.56110099313527</v>
      </c>
      <c r="I205" s="28">
        <v>97.703030439605342</v>
      </c>
      <c r="J205" s="28">
        <v>97.375708394565294</v>
      </c>
      <c r="K205" s="28">
        <v>97.464292795312502</v>
      </c>
      <c r="L205" s="25">
        <v>96.761881654797236</v>
      </c>
    </row>
    <row r="206" spans="1:12" ht="20.25" customHeight="1">
      <c r="A206" s="791"/>
      <c r="B206" s="29" t="s">
        <v>201</v>
      </c>
      <c r="C206" s="26">
        <v>5</v>
      </c>
      <c r="D206" s="22">
        <v>83</v>
      </c>
      <c r="E206" s="22">
        <v>71</v>
      </c>
      <c r="F206" s="26">
        <v>16</v>
      </c>
      <c r="G206" s="16">
        <v>94.593691321687913</v>
      </c>
      <c r="H206" s="28">
        <v>94.943386099914491</v>
      </c>
      <c r="I206" s="28">
        <v>94.251555609584855</v>
      </c>
      <c r="J206" s="28">
        <v>94.925413847058863</v>
      </c>
      <c r="K206" s="28">
        <v>97.245000295833336</v>
      </c>
      <c r="L206" s="25">
        <v>94.243996543461321</v>
      </c>
    </row>
    <row r="207" spans="1:12" ht="20.25" customHeight="1">
      <c r="A207" s="791"/>
      <c r="B207" s="29" t="s">
        <v>202</v>
      </c>
      <c r="C207" s="26">
        <v>5</v>
      </c>
      <c r="D207" s="22">
        <v>46</v>
      </c>
      <c r="E207" s="22">
        <v>44</v>
      </c>
      <c r="F207" s="26">
        <v>12</v>
      </c>
      <c r="G207" s="16">
        <v>95.342144714382826</v>
      </c>
      <c r="H207" s="28">
        <v>95.373880451651686</v>
      </c>
      <c r="I207" s="28">
        <v>97.498582393006075</v>
      </c>
      <c r="J207" s="28">
        <v>91.759491862903246</v>
      </c>
      <c r="K207" s="28">
        <v>95.954975369999985</v>
      </c>
      <c r="L207" s="25">
        <v>95.310408977113966</v>
      </c>
    </row>
    <row r="208" spans="1:12" ht="20.25" customHeight="1">
      <c r="A208" s="791"/>
      <c r="B208" s="29" t="s">
        <v>203</v>
      </c>
      <c r="C208" s="26">
        <v>5</v>
      </c>
      <c r="D208" s="22">
        <v>7</v>
      </c>
      <c r="E208" s="22">
        <v>7</v>
      </c>
      <c r="F208" s="26">
        <v>4</v>
      </c>
      <c r="G208" s="16">
        <v>96.419961311715582</v>
      </c>
      <c r="H208" s="28">
        <v>95.719036774181575</v>
      </c>
      <c r="I208" s="28">
        <v>96.989844316851944</v>
      </c>
      <c r="J208" s="28">
        <v>93.721518048484882</v>
      </c>
      <c r="K208" s="28">
        <v>95.616559501785702</v>
      </c>
      <c r="L208" s="25">
        <v>97.120885849249575</v>
      </c>
    </row>
    <row r="209" spans="1:14" ht="20.25" customHeight="1">
      <c r="A209" s="791"/>
      <c r="B209" s="29" t="s">
        <v>204</v>
      </c>
      <c r="C209" s="26">
        <v>5</v>
      </c>
      <c r="D209" s="22">
        <v>66</v>
      </c>
      <c r="E209" s="22">
        <v>58</v>
      </c>
      <c r="F209" s="26">
        <v>14</v>
      </c>
      <c r="G209" s="16">
        <v>95.003226846790454</v>
      </c>
      <c r="H209" s="28">
        <v>96.607737319705876</v>
      </c>
      <c r="I209" s="28">
        <v>95.024998573295449</v>
      </c>
      <c r="J209" s="28">
        <v>98.093209707142861</v>
      </c>
      <c r="K209" s="28">
        <v>98.765220242307677</v>
      </c>
      <c r="L209" s="25">
        <v>93.398716373875047</v>
      </c>
    </row>
    <row r="210" spans="1:14" ht="20.25" customHeight="1">
      <c r="A210" s="791"/>
      <c r="B210" s="29" t="s">
        <v>205</v>
      </c>
      <c r="C210" s="26">
        <v>5</v>
      </c>
      <c r="D210" s="22">
        <v>104</v>
      </c>
      <c r="E210" s="22">
        <v>82</v>
      </c>
      <c r="F210" s="26">
        <v>21</v>
      </c>
      <c r="G210" s="16">
        <v>94.230928346427049</v>
      </c>
      <c r="H210" s="28">
        <v>93.985010448971721</v>
      </c>
      <c r="I210" s="28">
        <v>95.606362249718075</v>
      </c>
      <c r="J210" s="28">
        <v>92.555427219999984</v>
      </c>
      <c r="K210" s="28">
        <v>91.760016792187486</v>
      </c>
      <c r="L210" s="25">
        <v>94.476846243882392</v>
      </c>
    </row>
    <row r="211" spans="1:14" ht="20.25" customHeight="1">
      <c r="A211" s="791"/>
      <c r="B211" s="29" t="s">
        <v>206</v>
      </c>
      <c r="C211" s="26">
        <v>5</v>
      </c>
      <c r="D211" s="22">
        <v>1</v>
      </c>
      <c r="E211" s="22">
        <v>1</v>
      </c>
      <c r="F211" s="26">
        <v>1</v>
      </c>
      <c r="G211" s="16">
        <v>97.806111807191172</v>
      </c>
      <c r="H211" s="28">
        <v>97.982968258632354</v>
      </c>
      <c r="I211" s="28">
        <v>98.146455776272944</v>
      </c>
      <c r="J211" s="28">
        <v>98.580144175827328</v>
      </c>
      <c r="K211" s="28">
        <v>95.655769090909089</v>
      </c>
      <c r="L211" s="25">
        <v>97.62925535574999</v>
      </c>
    </row>
    <row r="212" spans="1:14" ht="20.25" customHeight="1">
      <c r="A212" s="791"/>
      <c r="B212" s="29" t="s">
        <v>207</v>
      </c>
      <c r="C212" s="26">
        <v>5</v>
      </c>
      <c r="D212" s="22">
        <v>36</v>
      </c>
      <c r="E212" s="22">
        <v>35</v>
      </c>
      <c r="F212" s="26">
        <v>10</v>
      </c>
      <c r="G212" s="16">
        <v>95.527903525939522</v>
      </c>
      <c r="H212" s="28">
        <v>95.327843403024019</v>
      </c>
      <c r="I212" s="28">
        <v>95.117955500882729</v>
      </c>
      <c r="J212" s="28">
        <v>96.532030002777788</v>
      </c>
      <c r="K212" s="28">
        <v>93.492956479166665</v>
      </c>
      <c r="L212" s="25">
        <v>95.727963648855024</v>
      </c>
    </row>
    <row r="213" spans="1:14" ht="20.25" customHeight="1">
      <c r="A213" s="791"/>
      <c r="B213" s="29" t="s">
        <v>208</v>
      </c>
      <c r="C213" s="26">
        <v>5</v>
      </c>
      <c r="D213" s="22">
        <v>19</v>
      </c>
      <c r="E213" s="22">
        <v>19</v>
      </c>
      <c r="F213" s="26">
        <v>7</v>
      </c>
      <c r="G213" s="16">
        <v>96.09672121777038</v>
      </c>
      <c r="H213" s="28">
        <v>95.717590875903639</v>
      </c>
      <c r="I213" s="28">
        <v>97.311873022727255</v>
      </c>
      <c r="J213" s="28">
        <v>92.016942782758605</v>
      </c>
      <c r="K213" s="28">
        <v>99.434628899999993</v>
      </c>
      <c r="L213" s="25">
        <v>96.475851559637135</v>
      </c>
    </row>
    <row r="214" spans="1:14" ht="20.25" customHeight="1">
      <c r="A214" s="791"/>
      <c r="B214" s="29" t="s">
        <v>209</v>
      </c>
      <c r="C214" s="26">
        <v>5</v>
      </c>
      <c r="D214" s="22">
        <v>14</v>
      </c>
      <c r="E214" s="22">
        <v>14</v>
      </c>
      <c r="F214" s="26">
        <v>6</v>
      </c>
      <c r="G214" s="16">
        <v>96.199365428841958</v>
      </c>
      <c r="H214" s="28">
        <v>96.082090007183908</v>
      </c>
      <c r="I214" s="28">
        <v>95.080202805851044</v>
      </c>
      <c r="J214" s="28">
        <v>96.950971515000006</v>
      </c>
      <c r="K214" s="28">
        <v>98.18431532999999</v>
      </c>
      <c r="L214" s="25">
        <v>96.316640850500008</v>
      </c>
    </row>
    <row r="215" spans="1:14" ht="20.25" customHeight="1">
      <c r="A215" s="791"/>
      <c r="B215" s="29" t="s">
        <v>210</v>
      </c>
      <c r="C215" s="26">
        <v>5</v>
      </c>
      <c r="D215" s="22">
        <v>33</v>
      </c>
      <c r="E215" s="22">
        <v>32</v>
      </c>
      <c r="F215" s="26">
        <v>9</v>
      </c>
      <c r="G215" s="16">
        <v>95.590132665659013</v>
      </c>
      <c r="H215" s="28">
        <v>95.371889265131585</v>
      </c>
      <c r="I215" s="28">
        <v>97.801550333536582</v>
      </c>
      <c r="J215" s="28">
        <v>92.269044014655165</v>
      </c>
      <c r="K215" s="28">
        <v>93.766290674999993</v>
      </c>
      <c r="L215" s="25">
        <v>95.808376066186426</v>
      </c>
    </row>
    <row r="216" spans="1:14" ht="20.25" customHeight="1">
      <c r="A216" s="791"/>
      <c r="B216" s="29" t="s">
        <v>211</v>
      </c>
      <c r="C216" s="26">
        <v>5</v>
      </c>
      <c r="D216" s="22">
        <v>30</v>
      </c>
      <c r="E216" s="22">
        <v>29</v>
      </c>
      <c r="F216" s="26">
        <v>8</v>
      </c>
      <c r="G216" s="16">
        <v>95.633481614115482</v>
      </c>
      <c r="H216" s="28">
        <v>94.909662516230952</v>
      </c>
      <c r="I216" s="28">
        <v>95.898351113501406</v>
      </c>
      <c r="J216" s="28">
        <v>92.914657982000008</v>
      </c>
      <c r="K216" s="28">
        <v>99.999999999999986</v>
      </c>
      <c r="L216" s="25">
        <v>96.357300711999997</v>
      </c>
    </row>
    <row r="217" spans="1:14" ht="20.25" customHeight="1">
      <c r="A217" s="791"/>
      <c r="B217" s="29" t="s">
        <v>212</v>
      </c>
      <c r="C217" s="26">
        <v>5</v>
      </c>
      <c r="D217" s="22">
        <v>10</v>
      </c>
      <c r="E217" s="22">
        <v>10</v>
      </c>
      <c r="F217" s="26">
        <v>5</v>
      </c>
      <c r="G217" s="16">
        <v>96.281550678352289</v>
      </c>
      <c r="H217" s="28">
        <v>94.788108468150355</v>
      </c>
      <c r="I217" s="28">
        <v>94.862758992515225</v>
      </c>
      <c r="J217" s="28">
        <v>95.136952098863631</v>
      </c>
      <c r="K217" s="28">
        <v>93.812178343181799</v>
      </c>
      <c r="L217" s="25">
        <v>97.774992888554209</v>
      </c>
    </row>
    <row r="218" spans="1:14" ht="20.25" customHeight="1" thickBot="1">
      <c r="A218" s="787"/>
      <c r="B218" s="35" t="s">
        <v>213</v>
      </c>
      <c r="C218" s="27">
        <v>5</v>
      </c>
      <c r="D218" s="24">
        <v>113</v>
      </c>
      <c r="E218" s="40">
        <v>89</v>
      </c>
      <c r="F218" s="27">
        <v>22</v>
      </c>
      <c r="G218" s="36">
        <v>94.062570646787847</v>
      </c>
      <c r="H218" s="37">
        <v>95.765375275438601</v>
      </c>
      <c r="I218" s="37">
        <v>94.031044434677412</v>
      </c>
      <c r="J218" s="37">
        <v>97.550609270652174</v>
      </c>
      <c r="K218" s="37">
        <v>99.999999999999986</v>
      </c>
      <c r="L218" s="38">
        <v>92.359766018137094</v>
      </c>
    </row>
    <row r="219" spans="1:14" s="41" customFormat="1" ht="20.25" customHeight="1" thickBot="1">
      <c r="N219" s="179"/>
    </row>
    <row r="220" spans="1:14" ht="20.25" customHeight="1">
      <c r="A220" s="788" t="s">
        <v>38</v>
      </c>
      <c r="B220" s="778" t="s">
        <v>39</v>
      </c>
      <c r="C220" s="778" t="s">
        <v>40</v>
      </c>
      <c r="D220" s="778" t="s">
        <v>41</v>
      </c>
      <c r="E220" s="778" t="s">
        <v>42</v>
      </c>
      <c r="F220" s="778" t="s">
        <v>43</v>
      </c>
      <c r="G220" s="778" t="s">
        <v>37</v>
      </c>
      <c r="H220" s="781" t="s">
        <v>44</v>
      </c>
      <c r="I220" s="782"/>
      <c r="J220" s="782"/>
      <c r="K220" s="783"/>
      <c r="L220" s="784" t="s">
        <v>45</v>
      </c>
    </row>
    <row r="221" spans="1:14" ht="20.25" customHeight="1">
      <c r="A221" s="789"/>
      <c r="B221" s="779"/>
      <c r="C221" s="779"/>
      <c r="D221" s="779"/>
      <c r="E221" s="779"/>
      <c r="F221" s="779"/>
      <c r="G221" s="780"/>
      <c r="H221" s="12" t="s">
        <v>46</v>
      </c>
      <c r="I221" s="12" t="s">
        <v>47</v>
      </c>
      <c r="J221" s="12" t="s">
        <v>48</v>
      </c>
      <c r="K221" s="12" t="s">
        <v>49</v>
      </c>
      <c r="L221" s="785"/>
    </row>
    <row r="222" spans="1:14" ht="20.25" customHeight="1">
      <c r="A222" s="790"/>
      <c r="B222" s="780"/>
      <c r="C222" s="780"/>
      <c r="D222" s="780"/>
      <c r="E222" s="780"/>
      <c r="F222" s="780"/>
      <c r="G222" s="12" t="s">
        <v>50</v>
      </c>
      <c r="H222" s="12" t="s">
        <v>50</v>
      </c>
      <c r="I222" s="12" t="s">
        <v>50</v>
      </c>
      <c r="J222" s="12" t="s">
        <v>50</v>
      </c>
      <c r="K222" s="12" t="s">
        <v>50</v>
      </c>
      <c r="L222" s="13" t="s">
        <v>50</v>
      </c>
    </row>
    <row r="223" spans="1:14" ht="20.25" customHeight="1">
      <c r="A223" s="14" t="s">
        <v>51</v>
      </c>
      <c r="B223" s="15" t="s">
        <v>52</v>
      </c>
      <c r="C223" s="15" t="s">
        <v>52</v>
      </c>
      <c r="D223" s="15" t="s">
        <v>52</v>
      </c>
      <c r="E223" s="15" t="s">
        <v>52</v>
      </c>
      <c r="F223" s="15" t="s">
        <v>52</v>
      </c>
      <c r="G223" s="16">
        <v>94.590701117275231</v>
      </c>
      <c r="H223" s="28">
        <v>94.319661846341376</v>
      </c>
      <c r="I223" s="28">
        <v>94.097307331970029</v>
      </c>
      <c r="J223" s="28">
        <v>94.844943734372194</v>
      </c>
      <c r="K223" s="28">
        <v>94.035362755052276</v>
      </c>
      <c r="L223" s="25">
        <v>94.875050957093237</v>
      </c>
    </row>
    <row r="224" spans="1:14" ht="20.25" customHeight="1">
      <c r="A224" s="786" t="s">
        <v>214</v>
      </c>
      <c r="B224" s="29" t="s">
        <v>215</v>
      </c>
      <c r="C224" s="26">
        <v>4</v>
      </c>
      <c r="D224" s="22">
        <v>107</v>
      </c>
      <c r="E224" s="22">
        <v>23</v>
      </c>
      <c r="F224" s="26">
        <v>11</v>
      </c>
      <c r="G224" s="16">
        <v>94.213124396984014</v>
      </c>
      <c r="H224" s="28">
        <v>92.814244320827271</v>
      </c>
      <c r="I224" s="28">
        <v>93.102241855252359</v>
      </c>
      <c r="J224" s="28">
        <v>92.446479378920799</v>
      </c>
      <c r="K224" s="28">
        <v>92.325784683333325</v>
      </c>
      <c r="L224" s="25">
        <v>95.612004473140757</v>
      </c>
    </row>
    <row r="225" spans="1:12" ht="20.25" customHeight="1">
      <c r="A225" s="791"/>
      <c r="B225" s="29" t="s">
        <v>216</v>
      </c>
      <c r="C225" s="26">
        <v>4</v>
      </c>
      <c r="D225" s="22">
        <v>48</v>
      </c>
      <c r="E225" s="22">
        <v>3</v>
      </c>
      <c r="F225" s="26">
        <v>5</v>
      </c>
      <c r="G225" s="16">
        <v>95.304332254498931</v>
      </c>
      <c r="H225" s="28">
        <v>95.416457848212204</v>
      </c>
      <c r="I225" s="28">
        <v>96.283913195119752</v>
      </c>
      <c r="J225" s="28">
        <v>94.519711238636418</v>
      </c>
      <c r="K225" s="28">
        <v>94.073378503571419</v>
      </c>
      <c r="L225" s="25">
        <v>95.192206660785658</v>
      </c>
    </row>
    <row r="226" spans="1:12" ht="20.25" customHeight="1">
      <c r="A226" s="791"/>
      <c r="B226" s="29" t="s">
        <v>217</v>
      </c>
      <c r="C226" s="26">
        <v>4</v>
      </c>
      <c r="D226" s="22">
        <v>145</v>
      </c>
      <c r="E226" s="22">
        <v>40</v>
      </c>
      <c r="F226" s="26">
        <v>14</v>
      </c>
      <c r="G226" s="16">
        <v>93.382699227493163</v>
      </c>
      <c r="H226" s="28">
        <v>93.838520409736844</v>
      </c>
      <c r="I226" s="28">
        <v>93.293035689646473</v>
      </c>
      <c r="J226" s="28">
        <v>94.546854654761958</v>
      </c>
      <c r="K226" s="28">
        <v>94.17344647589286</v>
      </c>
      <c r="L226" s="25">
        <v>92.926878045249467</v>
      </c>
    </row>
    <row r="227" spans="1:12" ht="20.25" customHeight="1">
      <c r="A227" s="791"/>
      <c r="B227" s="29" t="s">
        <v>218</v>
      </c>
      <c r="C227" s="26">
        <v>4</v>
      </c>
      <c r="D227" s="22">
        <v>88</v>
      </c>
      <c r="E227" s="22">
        <v>15</v>
      </c>
      <c r="F227" s="26">
        <v>9</v>
      </c>
      <c r="G227" s="16">
        <v>94.549460528665136</v>
      </c>
      <c r="H227" s="28">
        <v>94.88277231117182</v>
      </c>
      <c r="I227" s="28">
        <v>95.979193797944504</v>
      </c>
      <c r="J227" s="28">
        <v>94.007467748986528</v>
      </c>
      <c r="K227" s="28">
        <v>92.621891495967716</v>
      </c>
      <c r="L227" s="25">
        <v>94.216148746158453</v>
      </c>
    </row>
    <row r="228" spans="1:12" ht="20.25" customHeight="1">
      <c r="A228" s="791"/>
      <c r="B228" s="29" t="s">
        <v>219</v>
      </c>
      <c r="C228" s="26">
        <v>4</v>
      </c>
      <c r="D228" s="22">
        <v>121</v>
      </c>
      <c r="E228" s="22">
        <v>29</v>
      </c>
      <c r="F228" s="26">
        <v>12</v>
      </c>
      <c r="G228" s="16">
        <v>93.895121213225735</v>
      </c>
      <c r="H228" s="28">
        <v>92.991441638147919</v>
      </c>
      <c r="I228" s="28">
        <v>93.436494666096721</v>
      </c>
      <c r="J228" s="28">
        <v>94.680313470370422</v>
      </c>
      <c r="K228" s="28">
        <v>86.964668431818168</v>
      </c>
      <c r="L228" s="25">
        <v>94.798800788303552</v>
      </c>
    </row>
    <row r="229" spans="1:12" ht="20.25" customHeight="1">
      <c r="A229" s="791"/>
      <c r="B229" s="29" t="s">
        <v>220</v>
      </c>
      <c r="C229" s="26">
        <v>5</v>
      </c>
      <c r="D229" s="22">
        <v>147</v>
      </c>
      <c r="E229" s="22">
        <v>106</v>
      </c>
      <c r="F229" s="26">
        <v>15</v>
      </c>
      <c r="G229" s="16">
        <v>93.354735968427974</v>
      </c>
      <c r="H229" s="28">
        <v>94.664738253358266</v>
      </c>
      <c r="I229" s="28">
        <v>94.169695397402592</v>
      </c>
      <c r="J229" s="28">
        <v>95.257142049359018</v>
      </c>
      <c r="K229" s="28">
        <v>95.498880023611093</v>
      </c>
      <c r="L229" s="25">
        <v>92.044733683497668</v>
      </c>
    </row>
    <row r="230" spans="1:12" ht="20.25" customHeight="1">
      <c r="A230" s="791"/>
      <c r="B230" s="29" t="s">
        <v>221</v>
      </c>
      <c r="C230" s="26">
        <v>5</v>
      </c>
      <c r="D230" s="22">
        <v>53</v>
      </c>
      <c r="E230" s="22">
        <v>48</v>
      </c>
      <c r="F230" s="26">
        <v>6</v>
      </c>
      <c r="G230" s="16">
        <v>95.19843274673886</v>
      </c>
      <c r="H230" s="28">
        <v>94.185304575606551</v>
      </c>
      <c r="I230" s="28">
        <v>93.773324125132135</v>
      </c>
      <c r="J230" s="28">
        <v>94.210182853510645</v>
      </c>
      <c r="K230" s="28">
        <v>95.578610427272721</v>
      </c>
      <c r="L230" s="25">
        <v>96.211560917871154</v>
      </c>
    </row>
    <row r="231" spans="1:12" ht="20.25" customHeight="1">
      <c r="A231" s="791"/>
      <c r="B231" s="29" t="s">
        <v>222</v>
      </c>
      <c r="C231" s="26">
        <v>5</v>
      </c>
      <c r="D231" s="22">
        <v>38</v>
      </c>
      <c r="E231" s="22">
        <v>37</v>
      </c>
      <c r="F231" s="26">
        <v>2</v>
      </c>
      <c r="G231" s="16">
        <v>95.485253190124951</v>
      </c>
      <c r="H231" s="28">
        <v>95.698587433695693</v>
      </c>
      <c r="I231" s="28">
        <v>94.865523251923065</v>
      </c>
      <c r="J231" s="28">
        <v>96.967081807352969</v>
      </c>
      <c r="K231" s="28">
        <v>96.387360128124982</v>
      </c>
      <c r="L231" s="25">
        <v>95.271918946554194</v>
      </c>
    </row>
    <row r="232" spans="1:12" ht="20.25" customHeight="1">
      <c r="A232" s="791"/>
      <c r="B232" s="29" t="s">
        <v>223</v>
      </c>
      <c r="C232" s="26">
        <v>5</v>
      </c>
      <c r="D232" s="22">
        <v>78</v>
      </c>
      <c r="E232" s="22">
        <v>67</v>
      </c>
      <c r="F232" s="26">
        <v>8</v>
      </c>
      <c r="G232" s="16">
        <v>94.709669226375993</v>
      </c>
      <c r="H232" s="28">
        <v>93.910706144197803</v>
      </c>
      <c r="I232" s="28">
        <v>90.378273331616825</v>
      </c>
      <c r="J232" s="28">
        <v>97.167866319791642</v>
      </c>
      <c r="K232" s="28">
        <v>99.007124568181794</v>
      </c>
      <c r="L232" s="25">
        <v>95.508632308554184</v>
      </c>
    </row>
    <row r="233" spans="1:12" ht="20.25" customHeight="1">
      <c r="A233" s="791"/>
      <c r="B233" s="29" t="s">
        <v>224</v>
      </c>
      <c r="C233" s="26">
        <v>5</v>
      </c>
      <c r="D233" s="22">
        <v>92</v>
      </c>
      <c r="E233" s="22">
        <v>76</v>
      </c>
      <c r="F233" s="26">
        <v>10</v>
      </c>
      <c r="G233" s="16">
        <v>94.475118799410097</v>
      </c>
      <c r="H233" s="28">
        <v>93.141541361766016</v>
      </c>
      <c r="I233" s="28">
        <v>91.86723766452441</v>
      </c>
      <c r="J233" s="28">
        <v>95.575444166964303</v>
      </c>
      <c r="K233" s="28">
        <v>93.330466567647051</v>
      </c>
      <c r="L233" s="25">
        <v>95.808696237054193</v>
      </c>
    </row>
    <row r="234" spans="1:12" ht="20.25" customHeight="1">
      <c r="A234" s="791"/>
      <c r="B234" s="29" t="s">
        <v>225</v>
      </c>
      <c r="C234" s="26">
        <v>5</v>
      </c>
      <c r="D234" s="22">
        <v>11</v>
      </c>
      <c r="E234" s="22">
        <v>11</v>
      </c>
      <c r="F234" s="26">
        <v>1</v>
      </c>
      <c r="G234" s="16">
        <v>96.231927306757299</v>
      </c>
      <c r="H234" s="28">
        <v>95.630736041808987</v>
      </c>
      <c r="I234" s="28">
        <v>95.371386572773233</v>
      </c>
      <c r="J234" s="28">
        <v>95.637162581818217</v>
      </c>
      <c r="K234" s="28">
        <v>96.611920474999977</v>
      </c>
      <c r="L234" s="25">
        <v>96.833118571705612</v>
      </c>
    </row>
    <row r="235" spans="1:12" ht="20.25" customHeight="1">
      <c r="A235" s="791"/>
      <c r="B235" s="29" t="s">
        <v>226</v>
      </c>
      <c r="C235" s="26">
        <v>5</v>
      </c>
      <c r="D235" s="22">
        <v>45</v>
      </c>
      <c r="E235" s="22">
        <v>43</v>
      </c>
      <c r="F235" s="26">
        <v>4</v>
      </c>
      <c r="G235" s="16">
        <v>95.348815500891561</v>
      </c>
      <c r="H235" s="28">
        <v>95.201314988031925</v>
      </c>
      <c r="I235" s="28">
        <v>94.729005674000021</v>
      </c>
      <c r="J235" s="28">
        <v>95.133312130645209</v>
      </c>
      <c r="K235" s="28">
        <v>97.180049932692299</v>
      </c>
      <c r="L235" s="25">
        <v>95.496316013751184</v>
      </c>
    </row>
    <row r="236" spans="1:12" ht="20.25" customHeight="1">
      <c r="A236" s="791"/>
      <c r="B236" s="29" t="s">
        <v>227</v>
      </c>
      <c r="C236" s="26">
        <v>5</v>
      </c>
      <c r="D236" s="22">
        <v>44</v>
      </c>
      <c r="E236" s="22">
        <v>42</v>
      </c>
      <c r="F236" s="26">
        <v>3</v>
      </c>
      <c r="G236" s="16">
        <v>95.35230790414947</v>
      </c>
      <c r="H236" s="28">
        <v>95.238387738135614</v>
      </c>
      <c r="I236" s="28">
        <v>93.276581357258081</v>
      </c>
      <c r="J236" s="28">
        <v>96.977625627777812</v>
      </c>
      <c r="K236" s="28">
        <v>98.189359317499992</v>
      </c>
      <c r="L236" s="25">
        <v>95.466228070163325</v>
      </c>
    </row>
    <row r="237" spans="1:12" ht="20.25" customHeight="1">
      <c r="A237" s="791"/>
      <c r="B237" s="29" t="s">
        <v>228</v>
      </c>
      <c r="C237" s="26">
        <v>5</v>
      </c>
      <c r="D237" s="22">
        <v>58</v>
      </c>
      <c r="E237" s="22">
        <v>53</v>
      </c>
      <c r="F237" s="26">
        <v>7</v>
      </c>
      <c r="G237" s="16">
        <v>95.140805395206428</v>
      </c>
      <c r="H237" s="28">
        <v>96.536748842021694</v>
      </c>
      <c r="I237" s="28">
        <v>98.719107136436932</v>
      </c>
      <c r="J237" s="28">
        <v>94.551602615999997</v>
      </c>
      <c r="K237" s="28">
        <v>93.50938888409091</v>
      </c>
      <c r="L237" s="25">
        <v>93.744861948391147</v>
      </c>
    </row>
    <row r="238" spans="1:12" ht="20.25" customHeight="1" thickBot="1">
      <c r="A238" s="787"/>
      <c r="B238" s="35" t="s">
        <v>229</v>
      </c>
      <c r="C238" s="27">
        <v>5</v>
      </c>
      <c r="D238" s="40">
        <v>138</v>
      </c>
      <c r="E238" s="40">
        <v>104</v>
      </c>
      <c r="F238" s="27">
        <v>13</v>
      </c>
      <c r="G238" s="36">
        <v>93.457463150561978</v>
      </c>
      <c r="H238" s="37">
        <v>92.269580927178382</v>
      </c>
      <c r="I238" s="37">
        <v>91.659368004908799</v>
      </c>
      <c r="J238" s="37">
        <v>94.1164231072581</v>
      </c>
      <c r="K238" s="37">
        <v>91.207103668749994</v>
      </c>
      <c r="L238" s="38">
        <v>94.64534537394556</v>
      </c>
    </row>
    <row r="239" spans="1:12" ht="19.5" customHeight="1" thickBot="1"/>
    <row r="240" spans="1:12" ht="20.25" customHeight="1">
      <c r="A240" s="788" t="s">
        <v>38</v>
      </c>
      <c r="B240" s="778" t="s">
        <v>39</v>
      </c>
      <c r="C240" s="778" t="s">
        <v>40</v>
      </c>
      <c r="D240" s="778" t="s">
        <v>41</v>
      </c>
      <c r="E240" s="778" t="s">
        <v>42</v>
      </c>
      <c r="F240" s="778" t="s">
        <v>43</v>
      </c>
      <c r="G240" s="778" t="s">
        <v>37</v>
      </c>
      <c r="H240" s="781" t="s">
        <v>44</v>
      </c>
      <c r="I240" s="782"/>
      <c r="J240" s="782"/>
      <c r="K240" s="783"/>
      <c r="L240" s="784" t="s">
        <v>45</v>
      </c>
    </row>
    <row r="241" spans="1:12" ht="20.25" customHeight="1">
      <c r="A241" s="789"/>
      <c r="B241" s="779"/>
      <c r="C241" s="779"/>
      <c r="D241" s="779"/>
      <c r="E241" s="779"/>
      <c r="F241" s="779"/>
      <c r="G241" s="780"/>
      <c r="H241" s="12" t="s">
        <v>46</v>
      </c>
      <c r="I241" s="12" t="s">
        <v>47</v>
      </c>
      <c r="J241" s="12" t="s">
        <v>48</v>
      </c>
      <c r="K241" s="12" t="s">
        <v>49</v>
      </c>
      <c r="L241" s="785"/>
    </row>
    <row r="242" spans="1:12" ht="20.25" customHeight="1">
      <c r="A242" s="790"/>
      <c r="B242" s="780"/>
      <c r="C242" s="780"/>
      <c r="D242" s="780"/>
      <c r="E242" s="780"/>
      <c r="F242" s="780"/>
      <c r="G242" s="12" t="s">
        <v>50</v>
      </c>
      <c r="H242" s="12" t="s">
        <v>50</v>
      </c>
      <c r="I242" s="12" t="s">
        <v>50</v>
      </c>
      <c r="J242" s="12" t="s">
        <v>50</v>
      </c>
      <c r="K242" s="12" t="s">
        <v>50</v>
      </c>
      <c r="L242" s="13" t="s">
        <v>50</v>
      </c>
    </row>
    <row r="243" spans="1:12" ht="20.25" customHeight="1">
      <c r="A243" s="14" t="s">
        <v>51</v>
      </c>
      <c r="B243" s="15" t="s">
        <v>52</v>
      </c>
      <c r="C243" s="15" t="s">
        <v>52</v>
      </c>
      <c r="D243" s="15" t="s">
        <v>52</v>
      </c>
      <c r="E243" s="15" t="s">
        <v>52</v>
      </c>
      <c r="F243" s="15" t="s">
        <v>52</v>
      </c>
      <c r="G243" s="16">
        <v>94.585828331168202</v>
      </c>
      <c r="H243" s="28">
        <v>94.177981272830337</v>
      </c>
      <c r="I243" s="28">
        <v>93.948832023231788</v>
      </c>
      <c r="J243" s="28">
        <v>94.179498734013592</v>
      </c>
      <c r="K243" s="28">
        <v>95.0238205671114</v>
      </c>
      <c r="L243" s="25">
        <v>94.745340350539095</v>
      </c>
    </row>
    <row r="244" spans="1:12" ht="20.25" customHeight="1">
      <c r="A244" s="786" t="s">
        <v>230</v>
      </c>
      <c r="B244" s="29" t="s">
        <v>231</v>
      </c>
      <c r="C244" s="26">
        <v>4</v>
      </c>
      <c r="D244" s="22">
        <v>167</v>
      </c>
      <c r="E244" s="22">
        <v>56</v>
      </c>
      <c r="F244" s="26">
        <v>17</v>
      </c>
      <c r="G244" s="16">
        <v>92.911712848984834</v>
      </c>
      <c r="H244" s="28">
        <v>92.250078594339797</v>
      </c>
      <c r="I244" s="28">
        <v>92.791567580626037</v>
      </c>
      <c r="J244" s="28">
        <v>92.219999749090945</v>
      </c>
      <c r="K244" s="28">
        <v>90.323572584353727</v>
      </c>
      <c r="L244" s="25">
        <v>93.573347103629871</v>
      </c>
    </row>
    <row r="245" spans="1:12" ht="20.25" customHeight="1">
      <c r="A245" s="791"/>
      <c r="B245" s="29" t="s">
        <v>232</v>
      </c>
      <c r="C245" s="26">
        <v>4</v>
      </c>
      <c r="D245" s="22">
        <v>127</v>
      </c>
      <c r="E245" s="22">
        <v>31</v>
      </c>
      <c r="F245" s="26">
        <v>15</v>
      </c>
      <c r="G245" s="16">
        <v>93.720677952856221</v>
      </c>
      <c r="H245" s="28">
        <v>93.902775732598172</v>
      </c>
      <c r="I245" s="28">
        <v>93.716225127118918</v>
      </c>
      <c r="J245" s="28">
        <v>95.626090890500052</v>
      </c>
      <c r="K245" s="28">
        <v>90.433965562499992</v>
      </c>
      <c r="L245" s="25">
        <v>93.538580173114283</v>
      </c>
    </row>
    <row r="246" spans="1:12" ht="20.25" customHeight="1">
      <c r="A246" s="791"/>
      <c r="B246" s="29" t="s">
        <v>233</v>
      </c>
      <c r="C246" s="26">
        <v>4</v>
      </c>
      <c r="D246" s="22">
        <v>114</v>
      </c>
      <c r="E246" s="22">
        <v>25</v>
      </c>
      <c r="F246" s="26">
        <v>14</v>
      </c>
      <c r="G246" s="16">
        <v>94.0463250942625</v>
      </c>
      <c r="H246" s="28">
        <v>94.065159798560813</v>
      </c>
      <c r="I246" s="28">
        <v>94.134859057703196</v>
      </c>
      <c r="J246" s="28">
        <v>93.220691974019658</v>
      </c>
      <c r="K246" s="28">
        <v>95.904906084999993</v>
      </c>
      <c r="L246" s="25">
        <v>94.027490389964186</v>
      </c>
    </row>
    <row r="247" spans="1:12" ht="20.25" customHeight="1">
      <c r="A247" s="791"/>
      <c r="B247" s="29" t="s">
        <v>234</v>
      </c>
      <c r="C247" s="26">
        <v>4</v>
      </c>
      <c r="D247" s="22">
        <v>74</v>
      </c>
      <c r="E247" s="22">
        <v>10</v>
      </c>
      <c r="F247" s="26">
        <v>9</v>
      </c>
      <c r="G247" s="16">
        <v>94.740056915129188</v>
      </c>
      <c r="H247" s="28">
        <v>94.004585682881753</v>
      </c>
      <c r="I247" s="28">
        <v>92.639969476729149</v>
      </c>
      <c r="J247" s="28">
        <v>94.269950130000026</v>
      </c>
      <c r="K247" s="28">
        <v>97.840628648333322</v>
      </c>
      <c r="L247" s="25">
        <v>95.475528147376622</v>
      </c>
    </row>
    <row r="248" spans="1:12" ht="20.25" customHeight="1">
      <c r="A248" s="791"/>
      <c r="B248" s="29" t="s">
        <v>235</v>
      </c>
      <c r="C248" s="26">
        <v>5</v>
      </c>
      <c r="D248" s="22">
        <v>51</v>
      </c>
      <c r="E248" s="22">
        <v>47</v>
      </c>
      <c r="F248" s="26">
        <v>5</v>
      </c>
      <c r="G248" s="16">
        <v>95.244872012520148</v>
      </c>
      <c r="H248" s="28">
        <v>92.581180601040245</v>
      </c>
      <c r="I248" s="28">
        <v>92.301156534411774</v>
      </c>
      <c r="J248" s="28">
        <v>91.495190170192302</v>
      </c>
      <c r="K248" s="28">
        <v>95.273494771874979</v>
      </c>
      <c r="L248" s="25">
        <v>97.908563424000036</v>
      </c>
    </row>
    <row r="249" spans="1:12" ht="20.25" customHeight="1">
      <c r="A249" s="791"/>
      <c r="B249" s="29" t="s">
        <v>236</v>
      </c>
      <c r="C249" s="26">
        <v>5</v>
      </c>
      <c r="D249" s="22">
        <v>32</v>
      </c>
      <c r="E249" s="22">
        <v>31</v>
      </c>
      <c r="F249" s="26">
        <v>2</v>
      </c>
      <c r="G249" s="16">
        <v>95.620519400341209</v>
      </c>
      <c r="H249" s="28">
        <v>94.5895730478274</v>
      </c>
      <c r="I249" s="28">
        <v>94.324762362148178</v>
      </c>
      <c r="J249" s="28">
        <v>94.742454581471975</v>
      </c>
      <c r="K249" s="28">
        <v>95.250050710000011</v>
      </c>
      <c r="L249" s="25">
        <v>96.651465752855003</v>
      </c>
    </row>
    <row r="250" spans="1:12" ht="20.25" customHeight="1">
      <c r="A250" s="791"/>
      <c r="B250" s="29" t="s">
        <v>237</v>
      </c>
      <c r="C250" s="26">
        <v>5</v>
      </c>
      <c r="D250" s="22">
        <v>67</v>
      </c>
      <c r="E250" s="22">
        <v>59</v>
      </c>
      <c r="F250" s="26">
        <v>7</v>
      </c>
      <c r="G250" s="16">
        <v>94.959609580677451</v>
      </c>
      <c r="H250" s="28">
        <v>93.741033638354878</v>
      </c>
      <c r="I250" s="28">
        <v>92.127944963375043</v>
      </c>
      <c r="J250" s="28">
        <v>95.279960502777769</v>
      </c>
      <c r="K250" s="28">
        <v>95.734213141666658</v>
      </c>
      <c r="L250" s="25">
        <v>96.178185523000025</v>
      </c>
    </row>
    <row r="251" spans="1:12" ht="20.25" customHeight="1">
      <c r="A251" s="791"/>
      <c r="B251" s="29" t="s">
        <v>238</v>
      </c>
      <c r="C251" s="26">
        <v>5</v>
      </c>
      <c r="D251" s="22">
        <v>63</v>
      </c>
      <c r="E251" s="22">
        <v>56</v>
      </c>
      <c r="F251" s="26">
        <v>6</v>
      </c>
      <c r="G251" s="16">
        <v>95.034624299705897</v>
      </c>
      <c r="H251" s="28">
        <v>93.631006294029845</v>
      </c>
      <c r="I251" s="28">
        <v>93.524235789583344</v>
      </c>
      <c r="J251" s="28">
        <v>92.585146702272723</v>
      </c>
      <c r="K251" s="28">
        <v>96.614633980555539</v>
      </c>
      <c r="L251" s="25">
        <v>96.438242305381948</v>
      </c>
    </row>
    <row r="252" spans="1:12" ht="20.25" customHeight="1">
      <c r="A252" s="791"/>
      <c r="B252" s="29" t="s">
        <v>239</v>
      </c>
      <c r="C252" s="26">
        <v>5</v>
      </c>
      <c r="D252" s="22">
        <v>49</v>
      </c>
      <c r="E252" s="22">
        <v>46</v>
      </c>
      <c r="F252" s="26">
        <v>4</v>
      </c>
      <c r="G252" s="16">
        <v>95.301849395948551</v>
      </c>
      <c r="H252" s="28">
        <v>96.12607315236842</v>
      </c>
      <c r="I252" s="28">
        <v>95.468325087264134</v>
      </c>
      <c r="J252" s="28">
        <v>96.695593693181863</v>
      </c>
      <c r="K252" s="28">
        <v>97.911236441666659</v>
      </c>
      <c r="L252" s="25">
        <v>94.477625639528668</v>
      </c>
    </row>
    <row r="253" spans="1:12" ht="20.25" customHeight="1">
      <c r="A253" s="791"/>
      <c r="B253" s="29" t="s">
        <v>240</v>
      </c>
      <c r="C253" s="26">
        <v>5</v>
      </c>
      <c r="D253" s="22">
        <v>31</v>
      </c>
      <c r="E253" s="22">
        <v>30</v>
      </c>
      <c r="F253" s="26">
        <v>1</v>
      </c>
      <c r="G253" s="16">
        <v>95.627189359941227</v>
      </c>
      <c r="H253" s="28">
        <v>95.260660069565233</v>
      </c>
      <c r="I253" s="28">
        <v>95.964423948571422</v>
      </c>
      <c r="J253" s="28">
        <v>95.120448540624992</v>
      </c>
      <c r="K253" s="28">
        <v>93.133994162499988</v>
      </c>
      <c r="L253" s="25">
        <v>95.99371865031722</v>
      </c>
    </row>
    <row r="254" spans="1:12" ht="20.25" customHeight="1">
      <c r="A254" s="791"/>
      <c r="B254" s="29" t="s">
        <v>241</v>
      </c>
      <c r="C254" s="26">
        <v>5</v>
      </c>
      <c r="D254" s="22">
        <v>111</v>
      </c>
      <c r="E254" s="22">
        <v>87</v>
      </c>
      <c r="F254" s="26">
        <v>13</v>
      </c>
      <c r="G254" s="16">
        <v>94.092992019369945</v>
      </c>
      <c r="H254" s="28">
        <v>94.408816993239824</v>
      </c>
      <c r="I254" s="28">
        <v>93.883661314042726</v>
      </c>
      <c r="J254" s="28">
        <v>93.276833227678566</v>
      </c>
      <c r="K254" s="28">
        <v>98.129366770312487</v>
      </c>
      <c r="L254" s="25">
        <v>93.77716704550005</v>
      </c>
    </row>
    <row r="255" spans="1:12" ht="20.25" customHeight="1">
      <c r="A255" s="791"/>
      <c r="B255" s="29" t="s">
        <v>242</v>
      </c>
      <c r="C255" s="26">
        <v>5</v>
      </c>
      <c r="D255" s="22">
        <v>39</v>
      </c>
      <c r="E255" s="22">
        <v>38</v>
      </c>
      <c r="F255" s="26">
        <v>3</v>
      </c>
      <c r="G255" s="16">
        <v>95.474815133783494</v>
      </c>
      <c r="H255" s="28">
        <v>94.379427684309221</v>
      </c>
      <c r="I255" s="28">
        <v>95.031692363597557</v>
      </c>
      <c r="J255" s="28">
        <v>92.612929058333322</v>
      </c>
      <c r="K255" s="28">
        <v>95.11897191964286</v>
      </c>
      <c r="L255" s="25">
        <v>96.570202583257782</v>
      </c>
    </row>
    <row r="256" spans="1:12" ht="20.25" customHeight="1">
      <c r="A256" s="791"/>
      <c r="B256" s="29" t="s">
        <v>243</v>
      </c>
      <c r="C256" s="26">
        <v>5</v>
      </c>
      <c r="D256" s="22">
        <v>101</v>
      </c>
      <c r="E256" s="22">
        <v>80</v>
      </c>
      <c r="F256" s="26">
        <v>11</v>
      </c>
      <c r="G256" s="16">
        <v>94.301622310139081</v>
      </c>
      <c r="H256" s="28">
        <v>95.265715244311082</v>
      </c>
      <c r="I256" s="28">
        <v>96.3001009949473</v>
      </c>
      <c r="J256" s="28">
        <v>93.381512943181804</v>
      </c>
      <c r="K256" s="28">
        <v>95.742892458181814</v>
      </c>
      <c r="L256" s="25">
        <v>93.33752937596708</v>
      </c>
    </row>
    <row r="257" spans="1:12" ht="20.25" customHeight="1">
      <c r="A257" s="791"/>
      <c r="B257" s="29" t="s">
        <v>244</v>
      </c>
      <c r="C257" s="26">
        <v>5</v>
      </c>
      <c r="D257" s="22">
        <v>152</v>
      </c>
      <c r="E257" s="22">
        <v>110</v>
      </c>
      <c r="F257" s="26">
        <v>16</v>
      </c>
      <c r="G257" s="16">
        <v>93.233645934537947</v>
      </c>
      <c r="H257" s="28">
        <v>95.631911736075949</v>
      </c>
      <c r="I257" s="28">
        <v>96.313908433536582</v>
      </c>
      <c r="J257" s="28">
        <v>94.785617360576921</v>
      </c>
      <c r="K257" s="28">
        <v>95.135394166666643</v>
      </c>
      <c r="L257" s="25">
        <v>90.835380132999958</v>
      </c>
    </row>
    <row r="258" spans="1:12" ht="20.25" customHeight="1">
      <c r="A258" s="791"/>
      <c r="B258" s="29" t="s">
        <v>245</v>
      </c>
      <c r="C258" s="26">
        <v>5</v>
      </c>
      <c r="D258" s="22">
        <v>71</v>
      </c>
      <c r="E258" s="22">
        <v>62</v>
      </c>
      <c r="F258" s="26">
        <v>8</v>
      </c>
      <c r="G258" s="16">
        <v>94.881174138049033</v>
      </c>
      <c r="H258" s="28">
        <v>93.538776657598063</v>
      </c>
      <c r="I258" s="28">
        <v>92.972607435714281</v>
      </c>
      <c r="J258" s="28">
        <v>93.7315610537879</v>
      </c>
      <c r="K258" s="28">
        <v>95.488283684615382</v>
      </c>
      <c r="L258" s="25">
        <v>96.223571618500003</v>
      </c>
    </row>
    <row r="259" spans="1:12" ht="20.25" customHeight="1">
      <c r="A259" s="791"/>
      <c r="B259" s="29" t="s">
        <v>246</v>
      </c>
      <c r="C259" s="26">
        <v>5</v>
      </c>
      <c r="D259" s="22">
        <v>95</v>
      </c>
      <c r="E259" s="22">
        <v>77</v>
      </c>
      <c r="F259" s="26">
        <v>10</v>
      </c>
      <c r="G259" s="16">
        <v>94.405953225893938</v>
      </c>
      <c r="H259" s="28">
        <v>95.950793653787883</v>
      </c>
      <c r="I259" s="28">
        <v>94.681621732142858</v>
      </c>
      <c r="J259" s="28">
        <v>98.957362098809512</v>
      </c>
      <c r="K259" s="28">
        <v>94.079101644999994</v>
      </c>
      <c r="L259" s="25">
        <v>92.861112797999994</v>
      </c>
    </row>
    <row r="260" spans="1:12" ht="20.25" customHeight="1" thickBot="1">
      <c r="A260" s="787"/>
      <c r="B260" s="35" t="s">
        <v>247</v>
      </c>
      <c r="C260" s="27">
        <v>5</v>
      </c>
      <c r="D260" s="40">
        <v>105</v>
      </c>
      <c r="E260" s="40">
        <v>83</v>
      </c>
      <c r="F260" s="27">
        <v>12</v>
      </c>
      <c r="G260" s="36">
        <v>94.222668368280523</v>
      </c>
      <c r="H260" s="37">
        <v>94.695695205561009</v>
      </c>
      <c r="I260" s="37">
        <v>93.392403540814769</v>
      </c>
      <c r="J260" s="37">
        <v>94.879159806946006</v>
      </c>
      <c r="K260" s="37">
        <v>98.970274476785704</v>
      </c>
      <c r="L260" s="38">
        <v>93.749641531000037</v>
      </c>
    </row>
    <row r="261" spans="1:12" ht="20.25" customHeight="1" thickBot="1">
      <c r="A261" s="10"/>
      <c r="B261" s="42"/>
      <c r="C261" s="43"/>
      <c r="D261" s="43"/>
      <c r="E261" s="43"/>
      <c r="F261" s="43"/>
      <c r="G261" s="44"/>
      <c r="H261" s="44"/>
      <c r="I261" s="44"/>
      <c r="J261" s="44"/>
      <c r="K261" s="44"/>
      <c r="L261" s="44"/>
    </row>
    <row r="262" spans="1:12" ht="20.25" customHeight="1">
      <c r="A262" s="788" t="s">
        <v>38</v>
      </c>
      <c r="B262" s="778" t="s">
        <v>39</v>
      </c>
      <c r="C262" s="778" t="s">
        <v>40</v>
      </c>
      <c r="D262" s="778" t="s">
        <v>41</v>
      </c>
      <c r="E262" s="778" t="s">
        <v>42</v>
      </c>
      <c r="F262" s="778" t="s">
        <v>43</v>
      </c>
      <c r="G262" s="778" t="s">
        <v>37</v>
      </c>
      <c r="H262" s="781" t="s">
        <v>44</v>
      </c>
      <c r="I262" s="782"/>
      <c r="J262" s="782"/>
      <c r="K262" s="783"/>
      <c r="L262" s="784" t="s">
        <v>45</v>
      </c>
    </row>
    <row r="263" spans="1:12" ht="20.25" customHeight="1">
      <c r="A263" s="789"/>
      <c r="B263" s="779"/>
      <c r="C263" s="779"/>
      <c r="D263" s="779"/>
      <c r="E263" s="779"/>
      <c r="F263" s="779"/>
      <c r="G263" s="780"/>
      <c r="H263" s="12" t="s">
        <v>46</v>
      </c>
      <c r="I263" s="12" t="s">
        <v>47</v>
      </c>
      <c r="J263" s="12" t="s">
        <v>48</v>
      </c>
      <c r="K263" s="12" t="s">
        <v>49</v>
      </c>
      <c r="L263" s="785"/>
    </row>
    <row r="264" spans="1:12" ht="20.25" customHeight="1">
      <c r="A264" s="790"/>
      <c r="B264" s="780"/>
      <c r="C264" s="780"/>
      <c r="D264" s="780"/>
      <c r="E264" s="780"/>
      <c r="F264" s="780"/>
      <c r="G264" s="12" t="s">
        <v>50</v>
      </c>
      <c r="H264" s="12" t="s">
        <v>50</v>
      </c>
      <c r="I264" s="12" t="s">
        <v>50</v>
      </c>
      <c r="J264" s="12" t="s">
        <v>50</v>
      </c>
      <c r="K264" s="12" t="s">
        <v>50</v>
      </c>
      <c r="L264" s="13" t="s">
        <v>50</v>
      </c>
    </row>
    <row r="265" spans="1:12" ht="20.25" customHeight="1">
      <c r="A265" s="14" t="s">
        <v>51</v>
      </c>
      <c r="B265" s="15" t="s">
        <v>52</v>
      </c>
      <c r="C265" s="15" t="s">
        <v>52</v>
      </c>
      <c r="D265" s="15" t="s">
        <v>52</v>
      </c>
      <c r="E265" s="15" t="s">
        <v>52</v>
      </c>
      <c r="F265" s="15" t="s">
        <v>52</v>
      </c>
      <c r="G265" s="16">
        <v>92.690384730505997</v>
      </c>
      <c r="H265" s="28">
        <v>93.202110129864579</v>
      </c>
      <c r="I265" s="28">
        <v>92.489655282768794</v>
      </c>
      <c r="J265" s="28">
        <v>94.378864484831524</v>
      </c>
      <c r="K265" s="28">
        <v>93.787900224833322</v>
      </c>
      <c r="L265" s="25">
        <v>92.38182606255053</v>
      </c>
    </row>
    <row r="266" spans="1:12" ht="20.25" customHeight="1">
      <c r="A266" s="786" t="s">
        <v>248</v>
      </c>
      <c r="B266" s="26" t="s">
        <v>249</v>
      </c>
      <c r="C266" s="26">
        <v>5</v>
      </c>
      <c r="D266" s="22">
        <v>186</v>
      </c>
      <c r="E266" s="22">
        <v>115</v>
      </c>
      <c r="F266" s="26">
        <v>2</v>
      </c>
      <c r="G266" s="16">
        <v>92.155000077682701</v>
      </c>
      <c r="H266" s="28">
        <v>92.935946352471447</v>
      </c>
      <c r="I266" s="28">
        <v>91.650224502193637</v>
      </c>
      <c r="J266" s="28">
        <v>94.847223314814855</v>
      </c>
      <c r="K266" s="28">
        <v>94.849895463541657</v>
      </c>
      <c r="L266" s="25">
        <v>91.374053802893954</v>
      </c>
    </row>
    <row r="267" spans="1:12" ht="20.25" customHeight="1" thickBot="1">
      <c r="A267" s="787"/>
      <c r="B267" s="27" t="s">
        <v>250</v>
      </c>
      <c r="C267" s="27">
        <v>5</v>
      </c>
      <c r="D267" s="40">
        <v>112</v>
      </c>
      <c r="E267" s="40">
        <v>88</v>
      </c>
      <c r="F267" s="27">
        <v>1</v>
      </c>
      <c r="G267" s="36">
        <v>94.092232415030267</v>
      </c>
      <c r="H267" s="37">
        <v>93.618527652560516</v>
      </c>
      <c r="I267" s="37">
        <v>93.921625437867647</v>
      </c>
      <c r="J267" s="37">
        <v>93.656253718571463</v>
      </c>
      <c r="K267" s="37">
        <v>92.574191380595224</v>
      </c>
      <c r="L267" s="38">
        <v>94.565937177500018</v>
      </c>
    </row>
  </sheetData>
  <mergeCells count="95">
    <mergeCell ref="A1:L1"/>
    <mergeCell ref="A2:B2"/>
    <mergeCell ref="A3:A5"/>
    <mergeCell ref="B3:B5"/>
    <mergeCell ref="C3:C5"/>
    <mergeCell ref="D3:D5"/>
    <mergeCell ref="E3:E5"/>
    <mergeCell ref="F3:F5"/>
    <mergeCell ref="G3:G4"/>
    <mergeCell ref="H3:K3"/>
    <mergeCell ref="L3:L4"/>
    <mergeCell ref="A7:A28"/>
    <mergeCell ref="A29:L29"/>
    <mergeCell ref="A30:A32"/>
    <mergeCell ref="B30:B32"/>
    <mergeCell ref="C30:C32"/>
    <mergeCell ref="D30:D32"/>
    <mergeCell ref="E30:E32"/>
    <mergeCell ref="F30:F32"/>
    <mergeCell ref="G30:G31"/>
    <mergeCell ref="H30:K30"/>
    <mergeCell ref="L30:L31"/>
    <mergeCell ref="A34:A72"/>
    <mergeCell ref="A73:L73"/>
    <mergeCell ref="A74:A76"/>
    <mergeCell ref="B74:B76"/>
    <mergeCell ref="C74:C76"/>
    <mergeCell ref="D74:D76"/>
    <mergeCell ref="E74:E76"/>
    <mergeCell ref="F74:F76"/>
    <mergeCell ref="G74:G75"/>
    <mergeCell ref="H74:K74"/>
    <mergeCell ref="L74:L75"/>
    <mergeCell ref="A78:A115"/>
    <mergeCell ref="A116:L116"/>
    <mergeCell ref="F117:F119"/>
    <mergeCell ref="G117:G118"/>
    <mergeCell ref="H117:K117"/>
    <mergeCell ref="L117:L118"/>
    <mergeCell ref="E117:E119"/>
    <mergeCell ref="A121:A152"/>
    <mergeCell ref="A117:A119"/>
    <mergeCell ref="B117:B119"/>
    <mergeCell ref="C117:C119"/>
    <mergeCell ref="D117:D119"/>
    <mergeCell ref="F154:F156"/>
    <mergeCell ref="G154:G155"/>
    <mergeCell ref="H154:K154"/>
    <mergeCell ref="L154:L155"/>
    <mergeCell ref="A158:A182"/>
    <mergeCell ref="A154:A156"/>
    <mergeCell ref="B154:B156"/>
    <mergeCell ref="C154:C156"/>
    <mergeCell ref="D154:D156"/>
    <mergeCell ref="E154:E156"/>
    <mergeCell ref="F184:F186"/>
    <mergeCell ref="G184:G185"/>
    <mergeCell ref="H184:K184"/>
    <mergeCell ref="L184:L185"/>
    <mergeCell ref="A188:A218"/>
    <mergeCell ref="A184:A186"/>
    <mergeCell ref="B184:B186"/>
    <mergeCell ref="C184:C186"/>
    <mergeCell ref="D184:D186"/>
    <mergeCell ref="E184:E186"/>
    <mergeCell ref="F220:F222"/>
    <mergeCell ref="G220:G221"/>
    <mergeCell ref="H220:K220"/>
    <mergeCell ref="L220:L221"/>
    <mergeCell ref="A224:A238"/>
    <mergeCell ref="A220:A222"/>
    <mergeCell ref="B220:B222"/>
    <mergeCell ref="C220:C222"/>
    <mergeCell ref="D220:D222"/>
    <mergeCell ref="E220:E222"/>
    <mergeCell ref="F240:F242"/>
    <mergeCell ref="G240:G241"/>
    <mergeCell ref="H240:K240"/>
    <mergeCell ref="L240:L241"/>
    <mergeCell ref="A244:A260"/>
    <mergeCell ref="A240:A242"/>
    <mergeCell ref="B240:B242"/>
    <mergeCell ref="C240:C242"/>
    <mergeCell ref="D240:D242"/>
    <mergeCell ref="E240:E242"/>
    <mergeCell ref="F262:F264"/>
    <mergeCell ref="G262:G263"/>
    <mergeCell ref="H262:K262"/>
    <mergeCell ref="L262:L263"/>
    <mergeCell ref="A266:A267"/>
    <mergeCell ref="A262:A264"/>
    <mergeCell ref="B262:B264"/>
    <mergeCell ref="C262:C264"/>
    <mergeCell ref="D262:D264"/>
    <mergeCell ref="E262:E26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  <rowBreaks count="8" manualBreakCount="8">
    <brk id="28" max="16383" man="1"/>
    <brk id="72" max="16383" man="1"/>
    <brk id="115" max="16383" man="1"/>
    <brk id="152" max="11" man="1"/>
    <brk id="182" max="16383" man="1"/>
    <brk id="218" max="11" man="1"/>
    <brk id="238" max="11" man="1"/>
    <brk id="261" max="11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Q268"/>
  <sheetViews>
    <sheetView zoomScaleSheetLayoutView="100" workbookViewId="0">
      <pane xSplit="1" ySplit="5" topLeftCell="B120" activePane="bottomRight" state="frozen"/>
      <selection pane="topRight" activeCell="B1" sqref="B1"/>
      <selection pane="bottomLeft" activeCell="A6" sqref="A6"/>
      <selection pane="bottomRight" activeCell="D136" sqref="D136"/>
    </sheetView>
  </sheetViews>
  <sheetFormatPr defaultRowHeight="20.25" customHeight="1"/>
  <cols>
    <col min="1" max="1" width="5.625" style="8" bestFit="1" customWidth="1"/>
    <col min="2" max="2" width="7" style="8" bestFit="1" customWidth="1"/>
    <col min="3" max="3" width="5.5" style="8" bestFit="1" customWidth="1"/>
    <col min="4" max="4" width="7.5" style="8" bestFit="1" customWidth="1"/>
    <col min="5" max="5" width="7.25" style="8" bestFit="1" customWidth="1"/>
    <col min="6" max="6" width="7" style="8" customWidth="1"/>
    <col min="7" max="9" width="6.25" style="11" customWidth="1"/>
    <col min="10" max="12" width="6.25" style="8" customWidth="1"/>
    <col min="13" max="258" width="9" style="8"/>
    <col min="259" max="259" width="5.625" style="8" bestFit="1" customWidth="1"/>
    <col min="260" max="260" width="7" style="8" bestFit="1" customWidth="1"/>
    <col min="261" max="261" width="5.5" style="8" bestFit="1" customWidth="1"/>
    <col min="262" max="262" width="7.5" style="8" bestFit="1" customWidth="1"/>
    <col min="263" max="263" width="7.25" style="8" bestFit="1" customWidth="1"/>
    <col min="264" max="264" width="7" style="8" customWidth="1"/>
    <col min="265" max="270" width="6.25" style="8" customWidth="1"/>
    <col min="271" max="514" width="9" style="8"/>
    <col min="515" max="515" width="5.625" style="8" bestFit="1" customWidth="1"/>
    <col min="516" max="516" width="7" style="8" bestFit="1" customWidth="1"/>
    <col min="517" max="517" width="5.5" style="8" bestFit="1" customWidth="1"/>
    <col min="518" max="518" width="7.5" style="8" bestFit="1" customWidth="1"/>
    <col min="519" max="519" width="7.25" style="8" bestFit="1" customWidth="1"/>
    <col min="520" max="520" width="7" style="8" customWidth="1"/>
    <col min="521" max="526" width="6.25" style="8" customWidth="1"/>
    <col min="527" max="770" width="9" style="8"/>
    <col min="771" max="771" width="5.625" style="8" bestFit="1" customWidth="1"/>
    <col min="772" max="772" width="7" style="8" bestFit="1" customWidth="1"/>
    <col min="773" max="773" width="5.5" style="8" bestFit="1" customWidth="1"/>
    <col min="774" max="774" width="7.5" style="8" bestFit="1" customWidth="1"/>
    <col min="775" max="775" width="7.25" style="8" bestFit="1" customWidth="1"/>
    <col min="776" max="776" width="7" style="8" customWidth="1"/>
    <col min="777" max="782" width="6.25" style="8" customWidth="1"/>
    <col min="783" max="1026" width="9" style="8"/>
    <col min="1027" max="1027" width="5.625" style="8" bestFit="1" customWidth="1"/>
    <col min="1028" max="1028" width="7" style="8" bestFit="1" customWidth="1"/>
    <col min="1029" max="1029" width="5.5" style="8" bestFit="1" customWidth="1"/>
    <col min="1030" max="1030" width="7.5" style="8" bestFit="1" customWidth="1"/>
    <col min="1031" max="1031" width="7.25" style="8" bestFit="1" customWidth="1"/>
    <col min="1032" max="1032" width="7" style="8" customWidth="1"/>
    <col min="1033" max="1038" width="6.25" style="8" customWidth="1"/>
    <col min="1039" max="1282" width="9" style="8"/>
    <col min="1283" max="1283" width="5.625" style="8" bestFit="1" customWidth="1"/>
    <col min="1284" max="1284" width="7" style="8" bestFit="1" customWidth="1"/>
    <col min="1285" max="1285" width="5.5" style="8" bestFit="1" customWidth="1"/>
    <col min="1286" max="1286" width="7.5" style="8" bestFit="1" customWidth="1"/>
    <col min="1287" max="1287" width="7.25" style="8" bestFit="1" customWidth="1"/>
    <col min="1288" max="1288" width="7" style="8" customWidth="1"/>
    <col min="1289" max="1294" width="6.25" style="8" customWidth="1"/>
    <col min="1295" max="1538" width="9" style="8"/>
    <col min="1539" max="1539" width="5.625" style="8" bestFit="1" customWidth="1"/>
    <col min="1540" max="1540" width="7" style="8" bestFit="1" customWidth="1"/>
    <col min="1541" max="1541" width="5.5" style="8" bestFit="1" customWidth="1"/>
    <col min="1542" max="1542" width="7.5" style="8" bestFit="1" customWidth="1"/>
    <col min="1543" max="1543" width="7.25" style="8" bestFit="1" customWidth="1"/>
    <col min="1544" max="1544" width="7" style="8" customWidth="1"/>
    <col min="1545" max="1550" width="6.25" style="8" customWidth="1"/>
    <col min="1551" max="1794" width="9" style="8"/>
    <col min="1795" max="1795" width="5.625" style="8" bestFit="1" customWidth="1"/>
    <col min="1796" max="1796" width="7" style="8" bestFit="1" customWidth="1"/>
    <col min="1797" max="1797" width="5.5" style="8" bestFit="1" customWidth="1"/>
    <col min="1798" max="1798" width="7.5" style="8" bestFit="1" customWidth="1"/>
    <col min="1799" max="1799" width="7.25" style="8" bestFit="1" customWidth="1"/>
    <col min="1800" max="1800" width="7" style="8" customWidth="1"/>
    <col min="1801" max="1806" width="6.25" style="8" customWidth="1"/>
    <col min="1807" max="2050" width="9" style="8"/>
    <col min="2051" max="2051" width="5.625" style="8" bestFit="1" customWidth="1"/>
    <col min="2052" max="2052" width="7" style="8" bestFit="1" customWidth="1"/>
    <col min="2053" max="2053" width="5.5" style="8" bestFit="1" customWidth="1"/>
    <col min="2054" max="2054" width="7.5" style="8" bestFit="1" customWidth="1"/>
    <col min="2055" max="2055" width="7.25" style="8" bestFit="1" customWidth="1"/>
    <col min="2056" max="2056" width="7" style="8" customWidth="1"/>
    <col min="2057" max="2062" width="6.25" style="8" customWidth="1"/>
    <col min="2063" max="2306" width="9" style="8"/>
    <col min="2307" max="2307" width="5.625" style="8" bestFit="1" customWidth="1"/>
    <col min="2308" max="2308" width="7" style="8" bestFit="1" customWidth="1"/>
    <col min="2309" max="2309" width="5.5" style="8" bestFit="1" customWidth="1"/>
    <col min="2310" max="2310" width="7.5" style="8" bestFit="1" customWidth="1"/>
    <col min="2311" max="2311" width="7.25" style="8" bestFit="1" customWidth="1"/>
    <col min="2312" max="2312" width="7" style="8" customWidth="1"/>
    <col min="2313" max="2318" width="6.25" style="8" customWidth="1"/>
    <col min="2319" max="2562" width="9" style="8"/>
    <col min="2563" max="2563" width="5.625" style="8" bestFit="1" customWidth="1"/>
    <col min="2564" max="2564" width="7" style="8" bestFit="1" customWidth="1"/>
    <col min="2565" max="2565" width="5.5" style="8" bestFit="1" customWidth="1"/>
    <col min="2566" max="2566" width="7.5" style="8" bestFit="1" customWidth="1"/>
    <col min="2567" max="2567" width="7.25" style="8" bestFit="1" customWidth="1"/>
    <col min="2568" max="2568" width="7" style="8" customWidth="1"/>
    <col min="2569" max="2574" width="6.25" style="8" customWidth="1"/>
    <col min="2575" max="2818" width="9" style="8"/>
    <col min="2819" max="2819" width="5.625" style="8" bestFit="1" customWidth="1"/>
    <col min="2820" max="2820" width="7" style="8" bestFit="1" customWidth="1"/>
    <col min="2821" max="2821" width="5.5" style="8" bestFit="1" customWidth="1"/>
    <col min="2822" max="2822" width="7.5" style="8" bestFit="1" customWidth="1"/>
    <col min="2823" max="2823" width="7.25" style="8" bestFit="1" customWidth="1"/>
    <col min="2824" max="2824" width="7" style="8" customWidth="1"/>
    <col min="2825" max="2830" width="6.25" style="8" customWidth="1"/>
    <col min="2831" max="3074" width="9" style="8"/>
    <col min="3075" max="3075" width="5.625" style="8" bestFit="1" customWidth="1"/>
    <col min="3076" max="3076" width="7" style="8" bestFit="1" customWidth="1"/>
    <col min="3077" max="3077" width="5.5" style="8" bestFit="1" customWidth="1"/>
    <col min="3078" max="3078" width="7.5" style="8" bestFit="1" customWidth="1"/>
    <col min="3079" max="3079" width="7.25" style="8" bestFit="1" customWidth="1"/>
    <col min="3080" max="3080" width="7" style="8" customWidth="1"/>
    <col min="3081" max="3086" width="6.25" style="8" customWidth="1"/>
    <col min="3087" max="3330" width="9" style="8"/>
    <col min="3331" max="3331" width="5.625" style="8" bestFit="1" customWidth="1"/>
    <col min="3332" max="3332" width="7" style="8" bestFit="1" customWidth="1"/>
    <col min="3333" max="3333" width="5.5" style="8" bestFit="1" customWidth="1"/>
    <col min="3334" max="3334" width="7.5" style="8" bestFit="1" customWidth="1"/>
    <col min="3335" max="3335" width="7.25" style="8" bestFit="1" customWidth="1"/>
    <col min="3336" max="3336" width="7" style="8" customWidth="1"/>
    <col min="3337" max="3342" width="6.25" style="8" customWidth="1"/>
    <col min="3343" max="3586" width="9" style="8"/>
    <col min="3587" max="3587" width="5.625" style="8" bestFit="1" customWidth="1"/>
    <col min="3588" max="3588" width="7" style="8" bestFit="1" customWidth="1"/>
    <col min="3589" max="3589" width="5.5" style="8" bestFit="1" customWidth="1"/>
    <col min="3590" max="3590" width="7.5" style="8" bestFit="1" customWidth="1"/>
    <col min="3591" max="3591" width="7.25" style="8" bestFit="1" customWidth="1"/>
    <col min="3592" max="3592" width="7" style="8" customWidth="1"/>
    <col min="3593" max="3598" width="6.25" style="8" customWidth="1"/>
    <col min="3599" max="3842" width="9" style="8"/>
    <col min="3843" max="3843" width="5.625" style="8" bestFit="1" customWidth="1"/>
    <col min="3844" max="3844" width="7" style="8" bestFit="1" customWidth="1"/>
    <col min="3845" max="3845" width="5.5" style="8" bestFit="1" customWidth="1"/>
    <col min="3846" max="3846" width="7.5" style="8" bestFit="1" customWidth="1"/>
    <col min="3847" max="3847" width="7.25" style="8" bestFit="1" customWidth="1"/>
    <col min="3848" max="3848" width="7" style="8" customWidth="1"/>
    <col min="3849" max="3854" width="6.25" style="8" customWidth="1"/>
    <col min="3855" max="4098" width="9" style="8"/>
    <col min="4099" max="4099" width="5.625" style="8" bestFit="1" customWidth="1"/>
    <col min="4100" max="4100" width="7" style="8" bestFit="1" customWidth="1"/>
    <col min="4101" max="4101" width="5.5" style="8" bestFit="1" customWidth="1"/>
    <col min="4102" max="4102" width="7.5" style="8" bestFit="1" customWidth="1"/>
    <col min="4103" max="4103" width="7.25" style="8" bestFit="1" customWidth="1"/>
    <col min="4104" max="4104" width="7" style="8" customWidth="1"/>
    <col min="4105" max="4110" width="6.25" style="8" customWidth="1"/>
    <col min="4111" max="4354" width="9" style="8"/>
    <col min="4355" max="4355" width="5.625" style="8" bestFit="1" customWidth="1"/>
    <col min="4356" max="4356" width="7" style="8" bestFit="1" customWidth="1"/>
    <col min="4357" max="4357" width="5.5" style="8" bestFit="1" customWidth="1"/>
    <col min="4358" max="4358" width="7.5" style="8" bestFit="1" customWidth="1"/>
    <col min="4359" max="4359" width="7.25" style="8" bestFit="1" customWidth="1"/>
    <col min="4360" max="4360" width="7" style="8" customWidth="1"/>
    <col min="4361" max="4366" width="6.25" style="8" customWidth="1"/>
    <col min="4367" max="4610" width="9" style="8"/>
    <col min="4611" max="4611" width="5.625" style="8" bestFit="1" customWidth="1"/>
    <col min="4612" max="4612" width="7" style="8" bestFit="1" customWidth="1"/>
    <col min="4613" max="4613" width="5.5" style="8" bestFit="1" customWidth="1"/>
    <col min="4614" max="4614" width="7.5" style="8" bestFit="1" customWidth="1"/>
    <col min="4615" max="4615" width="7.25" style="8" bestFit="1" customWidth="1"/>
    <col min="4616" max="4616" width="7" style="8" customWidth="1"/>
    <col min="4617" max="4622" width="6.25" style="8" customWidth="1"/>
    <col min="4623" max="4866" width="9" style="8"/>
    <col min="4867" max="4867" width="5.625" style="8" bestFit="1" customWidth="1"/>
    <col min="4868" max="4868" width="7" style="8" bestFit="1" customWidth="1"/>
    <col min="4869" max="4869" width="5.5" style="8" bestFit="1" customWidth="1"/>
    <col min="4870" max="4870" width="7.5" style="8" bestFit="1" customWidth="1"/>
    <col min="4871" max="4871" width="7.25" style="8" bestFit="1" customWidth="1"/>
    <col min="4872" max="4872" width="7" style="8" customWidth="1"/>
    <col min="4873" max="4878" width="6.25" style="8" customWidth="1"/>
    <col min="4879" max="5122" width="9" style="8"/>
    <col min="5123" max="5123" width="5.625" style="8" bestFit="1" customWidth="1"/>
    <col min="5124" max="5124" width="7" style="8" bestFit="1" customWidth="1"/>
    <col min="5125" max="5125" width="5.5" style="8" bestFit="1" customWidth="1"/>
    <col min="5126" max="5126" width="7.5" style="8" bestFit="1" customWidth="1"/>
    <col min="5127" max="5127" width="7.25" style="8" bestFit="1" customWidth="1"/>
    <col min="5128" max="5128" width="7" style="8" customWidth="1"/>
    <col min="5129" max="5134" width="6.25" style="8" customWidth="1"/>
    <col min="5135" max="5378" width="9" style="8"/>
    <col min="5379" max="5379" width="5.625" style="8" bestFit="1" customWidth="1"/>
    <col min="5380" max="5380" width="7" style="8" bestFit="1" customWidth="1"/>
    <col min="5381" max="5381" width="5.5" style="8" bestFit="1" customWidth="1"/>
    <col min="5382" max="5382" width="7.5" style="8" bestFit="1" customWidth="1"/>
    <col min="5383" max="5383" width="7.25" style="8" bestFit="1" customWidth="1"/>
    <col min="5384" max="5384" width="7" style="8" customWidth="1"/>
    <col min="5385" max="5390" width="6.25" style="8" customWidth="1"/>
    <col min="5391" max="5634" width="9" style="8"/>
    <col min="5635" max="5635" width="5.625" style="8" bestFit="1" customWidth="1"/>
    <col min="5636" max="5636" width="7" style="8" bestFit="1" customWidth="1"/>
    <col min="5637" max="5637" width="5.5" style="8" bestFit="1" customWidth="1"/>
    <col min="5638" max="5638" width="7.5" style="8" bestFit="1" customWidth="1"/>
    <col min="5639" max="5639" width="7.25" style="8" bestFit="1" customWidth="1"/>
    <col min="5640" max="5640" width="7" style="8" customWidth="1"/>
    <col min="5641" max="5646" width="6.25" style="8" customWidth="1"/>
    <col min="5647" max="5890" width="9" style="8"/>
    <col min="5891" max="5891" width="5.625" style="8" bestFit="1" customWidth="1"/>
    <col min="5892" max="5892" width="7" style="8" bestFit="1" customWidth="1"/>
    <col min="5893" max="5893" width="5.5" style="8" bestFit="1" customWidth="1"/>
    <col min="5894" max="5894" width="7.5" style="8" bestFit="1" customWidth="1"/>
    <col min="5895" max="5895" width="7.25" style="8" bestFit="1" customWidth="1"/>
    <col min="5896" max="5896" width="7" style="8" customWidth="1"/>
    <col min="5897" max="5902" width="6.25" style="8" customWidth="1"/>
    <col min="5903" max="6146" width="9" style="8"/>
    <col min="6147" max="6147" width="5.625" style="8" bestFit="1" customWidth="1"/>
    <col min="6148" max="6148" width="7" style="8" bestFit="1" customWidth="1"/>
    <col min="6149" max="6149" width="5.5" style="8" bestFit="1" customWidth="1"/>
    <col min="6150" max="6150" width="7.5" style="8" bestFit="1" customWidth="1"/>
    <col min="6151" max="6151" width="7.25" style="8" bestFit="1" customWidth="1"/>
    <col min="6152" max="6152" width="7" style="8" customWidth="1"/>
    <col min="6153" max="6158" width="6.25" style="8" customWidth="1"/>
    <col min="6159" max="6402" width="9" style="8"/>
    <col min="6403" max="6403" width="5.625" style="8" bestFit="1" customWidth="1"/>
    <col min="6404" max="6404" width="7" style="8" bestFit="1" customWidth="1"/>
    <col min="6405" max="6405" width="5.5" style="8" bestFit="1" customWidth="1"/>
    <col min="6406" max="6406" width="7.5" style="8" bestFit="1" customWidth="1"/>
    <col min="6407" max="6407" width="7.25" style="8" bestFit="1" customWidth="1"/>
    <col min="6408" max="6408" width="7" style="8" customWidth="1"/>
    <col min="6409" max="6414" width="6.25" style="8" customWidth="1"/>
    <col min="6415" max="6658" width="9" style="8"/>
    <col min="6659" max="6659" width="5.625" style="8" bestFit="1" customWidth="1"/>
    <col min="6660" max="6660" width="7" style="8" bestFit="1" customWidth="1"/>
    <col min="6661" max="6661" width="5.5" style="8" bestFit="1" customWidth="1"/>
    <col min="6662" max="6662" width="7.5" style="8" bestFit="1" customWidth="1"/>
    <col min="6663" max="6663" width="7.25" style="8" bestFit="1" customWidth="1"/>
    <col min="6664" max="6664" width="7" style="8" customWidth="1"/>
    <col min="6665" max="6670" width="6.25" style="8" customWidth="1"/>
    <col min="6671" max="6914" width="9" style="8"/>
    <col min="6915" max="6915" width="5.625" style="8" bestFit="1" customWidth="1"/>
    <col min="6916" max="6916" width="7" style="8" bestFit="1" customWidth="1"/>
    <col min="6917" max="6917" width="5.5" style="8" bestFit="1" customWidth="1"/>
    <col min="6918" max="6918" width="7.5" style="8" bestFit="1" customWidth="1"/>
    <col min="6919" max="6919" width="7.25" style="8" bestFit="1" customWidth="1"/>
    <col min="6920" max="6920" width="7" style="8" customWidth="1"/>
    <col min="6921" max="6926" width="6.25" style="8" customWidth="1"/>
    <col min="6927" max="7170" width="9" style="8"/>
    <col min="7171" max="7171" width="5.625" style="8" bestFit="1" customWidth="1"/>
    <col min="7172" max="7172" width="7" style="8" bestFit="1" customWidth="1"/>
    <col min="7173" max="7173" width="5.5" style="8" bestFit="1" customWidth="1"/>
    <col min="7174" max="7174" width="7.5" style="8" bestFit="1" customWidth="1"/>
    <col min="7175" max="7175" width="7.25" style="8" bestFit="1" customWidth="1"/>
    <col min="7176" max="7176" width="7" style="8" customWidth="1"/>
    <col min="7177" max="7182" width="6.25" style="8" customWidth="1"/>
    <col min="7183" max="7426" width="9" style="8"/>
    <col min="7427" max="7427" width="5.625" style="8" bestFit="1" customWidth="1"/>
    <col min="7428" max="7428" width="7" style="8" bestFit="1" customWidth="1"/>
    <col min="7429" max="7429" width="5.5" style="8" bestFit="1" customWidth="1"/>
    <col min="7430" max="7430" width="7.5" style="8" bestFit="1" customWidth="1"/>
    <col min="7431" max="7431" width="7.25" style="8" bestFit="1" customWidth="1"/>
    <col min="7432" max="7432" width="7" style="8" customWidth="1"/>
    <col min="7433" max="7438" width="6.25" style="8" customWidth="1"/>
    <col min="7439" max="7682" width="9" style="8"/>
    <col min="7683" max="7683" width="5.625" style="8" bestFit="1" customWidth="1"/>
    <col min="7684" max="7684" width="7" style="8" bestFit="1" customWidth="1"/>
    <col min="7685" max="7685" width="5.5" style="8" bestFit="1" customWidth="1"/>
    <col min="7686" max="7686" width="7.5" style="8" bestFit="1" customWidth="1"/>
    <col min="7687" max="7687" width="7.25" style="8" bestFit="1" customWidth="1"/>
    <col min="7688" max="7688" width="7" style="8" customWidth="1"/>
    <col min="7689" max="7694" width="6.25" style="8" customWidth="1"/>
    <col min="7695" max="7938" width="9" style="8"/>
    <col min="7939" max="7939" width="5.625" style="8" bestFit="1" customWidth="1"/>
    <col min="7940" max="7940" width="7" style="8" bestFit="1" customWidth="1"/>
    <col min="7941" max="7941" width="5.5" style="8" bestFit="1" customWidth="1"/>
    <col min="7942" max="7942" width="7.5" style="8" bestFit="1" customWidth="1"/>
    <col min="7943" max="7943" width="7.25" style="8" bestFit="1" customWidth="1"/>
    <col min="7944" max="7944" width="7" style="8" customWidth="1"/>
    <col min="7945" max="7950" width="6.25" style="8" customWidth="1"/>
    <col min="7951" max="8194" width="9" style="8"/>
    <col min="8195" max="8195" width="5.625" style="8" bestFit="1" customWidth="1"/>
    <col min="8196" max="8196" width="7" style="8" bestFit="1" customWidth="1"/>
    <col min="8197" max="8197" width="5.5" style="8" bestFit="1" customWidth="1"/>
    <col min="8198" max="8198" width="7.5" style="8" bestFit="1" customWidth="1"/>
    <col min="8199" max="8199" width="7.25" style="8" bestFit="1" customWidth="1"/>
    <col min="8200" max="8200" width="7" style="8" customWidth="1"/>
    <col min="8201" max="8206" width="6.25" style="8" customWidth="1"/>
    <col min="8207" max="8450" width="9" style="8"/>
    <col min="8451" max="8451" width="5.625" style="8" bestFit="1" customWidth="1"/>
    <col min="8452" max="8452" width="7" style="8" bestFit="1" customWidth="1"/>
    <col min="8453" max="8453" width="5.5" style="8" bestFit="1" customWidth="1"/>
    <col min="8454" max="8454" width="7.5" style="8" bestFit="1" customWidth="1"/>
    <col min="8455" max="8455" width="7.25" style="8" bestFit="1" customWidth="1"/>
    <col min="8456" max="8456" width="7" style="8" customWidth="1"/>
    <col min="8457" max="8462" width="6.25" style="8" customWidth="1"/>
    <col min="8463" max="8706" width="9" style="8"/>
    <col min="8707" max="8707" width="5.625" style="8" bestFit="1" customWidth="1"/>
    <col min="8708" max="8708" width="7" style="8" bestFit="1" customWidth="1"/>
    <col min="8709" max="8709" width="5.5" style="8" bestFit="1" customWidth="1"/>
    <col min="8710" max="8710" width="7.5" style="8" bestFit="1" customWidth="1"/>
    <col min="8711" max="8711" width="7.25" style="8" bestFit="1" customWidth="1"/>
    <col min="8712" max="8712" width="7" style="8" customWidth="1"/>
    <col min="8713" max="8718" width="6.25" style="8" customWidth="1"/>
    <col min="8719" max="8962" width="9" style="8"/>
    <col min="8963" max="8963" width="5.625" style="8" bestFit="1" customWidth="1"/>
    <col min="8964" max="8964" width="7" style="8" bestFit="1" customWidth="1"/>
    <col min="8965" max="8965" width="5.5" style="8" bestFit="1" customWidth="1"/>
    <col min="8966" max="8966" width="7.5" style="8" bestFit="1" customWidth="1"/>
    <col min="8967" max="8967" width="7.25" style="8" bestFit="1" customWidth="1"/>
    <col min="8968" max="8968" width="7" style="8" customWidth="1"/>
    <col min="8969" max="8974" width="6.25" style="8" customWidth="1"/>
    <col min="8975" max="9218" width="9" style="8"/>
    <col min="9219" max="9219" width="5.625" style="8" bestFit="1" customWidth="1"/>
    <col min="9220" max="9220" width="7" style="8" bestFit="1" customWidth="1"/>
    <col min="9221" max="9221" width="5.5" style="8" bestFit="1" customWidth="1"/>
    <col min="9222" max="9222" width="7.5" style="8" bestFit="1" customWidth="1"/>
    <col min="9223" max="9223" width="7.25" style="8" bestFit="1" customWidth="1"/>
    <col min="9224" max="9224" width="7" style="8" customWidth="1"/>
    <col min="9225" max="9230" width="6.25" style="8" customWidth="1"/>
    <col min="9231" max="9474" width="9" style="8"/>
    <col min="9475" max="9475" width="5.625" style="8" bestFit="1" customWidth="1"/>
    <col min="9476" max="9476" width="7" style="8" bestFit="1" customWidth="1"/>
    <col min="9477" max="9477" width="5.5" style="8" bestFit="1" customWidth="1"/>
    <col min="9478" max="9478" width="7.5" style="8" bestFit="1" customWidth="1"/>
    <col min="9479" max="9479" width="7.25" style="8" bestFit="1" customWidth="1"/>
    <col min="9480" max="9480" width="7" style="8" customWidth="1"/>
    <col min="9481" max="9486" width="6.25" style="8" customWidth="1"/>
    <col min="9487" max="9730" width="9" style="8"/>
    <col min="9731" max="9731" width="5.625" style="8" bestFit="1" customWidth="1"/>
    <col min="9732" max="9732" width="7" style="8" bestFit="1" customWidth="1"/>
    <col min="9733" max="9733" width="5.5" style="8" bestFit="1" customWidth="1"/>
    <col min="9734" max="9734" width="7.5" style="8" bestFit="1" customWidth="1"/>
    <col min="9735" max="9735" width="7.25" style="8" bestFit="1" customWidth="1"/>
    <col min="9736" max="9736" width="7" style="8" customWidth="1"/>
    <col min="9737" max="9742" width="6.25" style="8" customWidth="1"/>
    <col min="9743" max="9986" width="9" style="8"/>
    <col min="9987" max="9987" width="5.625" style="8" bestFit="1" customWidth="1"/>
    <col min="9988" max="9988" width="7" style="8" bestFit="1" customWidth="1"/>
    <col min="9989" max="9989" width="5.5" style="8" bestFit="1" customWidth="1"/>
    <col min="9990" max="9990" width="7.5" style="8" bestFit="1" customWidth="1"/>
    <col min="9991" max="9991" width="7.25" style="8" bestFit="1" customWidth="1"/>
    <col min="9992" max="9992" width="7" style="8" customWidth="1"/>
    <col min="9993" max="9998" width="6.25" style="8" customWidth="1"/>
    <col min="9999" max="10242" width="9" style="8"/>
    <col min="10243" max="10243" width="5.625" style="8" bestFit="1" customWidth="1"/>
    <col min="10244" max="10244" width="7" style="8" bestFit="1" customWidth="1"/>
    <col min="10245" max="10245" width="5.5" style="8" bestFit="1" customWidth="1"/>
    <col min="10246" max="10246" width="7.5" style="8" bestFit="1" customWidth="1"/>
    <col min="10247" max="10247" width="7.25" style="8" bestFit="1" customWidth="1"/>
    <col min="10248" max="10248" width="7" style="8" customWidth="1"/>
    <col min="10249" max="10254" width="6.25" style="8" customWidth="1"/>
    <col min="10255" max="10498" width="9" style="8"/>
    <col min="10499" max="10499" width="5.625" style="8" bestFit="1" customWidth="1"/>
    <col min="10500" max="10500" width="7" style="8" bestFit="1" customWidth="1"/>
    <col min="10501" max="10501" width="5.5" style="8" bestFit="1" customWidth="1"/>
    <col min="10502" max="10502" width="7.5" style="8" bestFit="1" customWidth="1"/>
    <col min="10503" max="10503" width="7.25" style="8" bestFit="1" customWidth="1"/>
    <col min="10504" max="10504" width="7" style="8" customWidth="1"/>
    <col min="10505" max="10510" width="6.25" style="8" customWidth="1"/>
    <col min="10511" max="10754" width="9" style="8"/>
    <col min="10755" max="10755" width="5.625" style="8" bestFit="1" customWidth="1"/>
    <col min="10756" max="10756" width="7" style="8" bestFit="1" customWidth="1"/>
    <col min="10757" max="10757" width="5.5" style="8" bestFit="1" customWidth="1"/>
    <col min="10758" max="10758" width="7.5" style="8" bestFit="1" customWidth="1"/>
    <col min="10759" max="10759" width="7.25" style="8" bestFit="1" customWidth="1"/>
    <col min="10760" max="10760" width="7" style="8" customWidth="1"/>
    <col min="10761" max="10766" width="6.25" style="8" customWidth="1"/>
    <col min="10767" max="11010" width="9" style="8"/>
    <col min="11011" max="11011" width="5.625" style="8" bestFit="1" customWidth="1"/>
    <col min="11012" max="11012" width="7" style="8" bestFit="1" customWidth="1"/>
    <col min="11013" max="11013" width="5.5" style="8" bestFit="1" customWidth="1"/>
    <col min="11014" max="11014" width="7.5" style="8" bestFit="1" customWidth="1"/>
    <col min="11015" max="11015" width="7.25" style="8" bestFit="1" customWidth="1"/>
    <col min="11016" max="11016" width="7" style="8" customWidth="1"/>
    <col min="11017" max="11022" width="6.25" style="8" customWidth="1"/>
    <col min="11023" max="11266" width="9" style="8"/>
    <col min="11267" max="11267" width="5.625" style="8" bestFit="1" customWidth="1"/>
    <col min="11268" max="11268" width="7" style="8" bestFit="1" customWidth="1"/>
    <col min="11269" max="11269" width="5.5" style="8" bestFit="1" customWidth="1"/>
    <col min="11270" max="11270" width="7.5" style="8" bestFit="1" customWidth="1"/>
    <col min="11271" max="11271" width="7.25" style="8" bestFit="1" customWidth="1"/>
    <col min="11272" max="11272" width="7" style="8" customWidth="1"/>
    <col min="11273" max="11278" width="6.25" style="8" customWidth="1"/>
    <col min="11279" max="11522" width="9" style="8"/>
    <col min="11523" max="11523" width="5.625" style="8" bestFit="1" customWidth="1"/>
    <col min="11524" max="11524" width="7" style="8" bestFit="1" customWidth="1"/>
    <col min="11525" max="11525" width="5.5" style="8" bestFit="1" customWidth="1"/>
    <col min="11526" max="11526" width="7.5" style="8" bestFit="1" customWidth="1"/>
    <col min="11527" max="11527" width="7.25" style="8" bestFit="1" customWidth="1"/>
    <col min="11528" max="11528" width="7" style="8" customWidth="1"/>
    <col min="11529" max="11534" width="6.25" style="8" customWidth="1"/>
    <col min="11535" max="11778" width="9" style="8"/>
    <col min="11779" max="11779" width="5.625" style="8" bestFit="1" customWidth="1"/>
    <col min="11780" max="11780" width="7" style="8" bestFit="1" customWidth="1"/>
    <col min="11781" max="11781" width="5.5" style="8" bestFit="1" customWidth="1"/>
    <col min="11782" max="11782" width="7.5" style="8" bestFit="1" customWidth="1"/>
    <col min="11783" max="11783" width="7.25" style="8" bestFit="1" customWidth="1"/>
    <col min="11784" max="11784" width="7" style="8" customWidth="1"/>
    <col min="11785" max="11790" width="6.25" style="8" customWidth="1"/>
    <col min="11791" max="12034" width="9" style="8"/>
    <col min="12035" max="12035" width="5.625" style="8" bestFit="1" customWidth="1"/>
    <col min="12036" max="12036" width="7" style="8" bestFit="1" customWidth="1"/>
    <col min="12037" max="12037" width="5.5" style="8" bestFit="1" customWidth="1"/>
    <col min="12038" max="12038" width="7.5" style="8" bestFit="1" customWidth="1"/>
    <col min="12039" max="12039" width="7.25" style="8" bestFit="1" customWidth="1"/>
    <col min="12040" max="12040" width="7" style="8" customWidth="1"/>
    <col min="12041" max="12046" width="6.25" style="8" customWidth="1"/>
    <col min="12047" max="12290" width="9" style="8"/>
    <col min="12291" max="12291" width="5.625" style="8" bestFit="1" customWidth="1"/>
    <col min="12292" max="12292" width="7" style="8" bestFit="1" customWidth="1"/>
    <col min="12293" max="12293" width="5.5" style="8" bestFit="1" customWidth="1"/>
    <col min="12294" max="12294" width="7.5" style="8" bestFit="1" customWidth="1"/>
    <col min="12295" max="12295" width="7.25" style="8" bestFit="1" customWidth="1"/>
    <col min="12296" max="12296" width="7" style="8" customWidth="1"/>
    <col min="12297" max="12302" width="6.25" style="8" customWidth="1"/>
    <col min="12303" max="12546" width="9" style="8"/>
    <col min="12547" max="12547" width="5.625" style="8" bestFit="1" customWidth="1"/>
    <col min="12548" max="12548" width="7" style="8" bestFit="1" customWidth="1"/>
    <col min="12549" max="12549" width="5.5" style="8" bestFit="1" customWidth="1"/>
    <col min="12550" max="12550" width="7.5" style="8" bestFit="1" customWidth="1"/>
    <col min="12551" max="12551" width="7.25" style="8" bestFit="1" customWidth="1"/>
    <col min="12552" max="12552" width="7" style="8" customWidth="1"/>
    <col min="12553" max="12558" width="6.25" style="8" customWidth="1"/>
    <col min="12559" max="12802" width="9" style="8"/>
    <col min="12803" max="12803" width="5.625" style="8" bestFit="1" customWidth="1"/>
    <col min="12804" max="12804" width="7" style="8" bestFit="1" customWidth="1"/>
    <col min="12805" max="12805" width="5.5" style="8" bestFit="1" customWidth="1"/>
    <col min="12806" max="12806" width="7.5" style="8" bestFit="1" customWidth="1"/>
    <col min="12807" max="12807" width="7.25" style="8" bestFit="1" customWidth="1"/>
    <col min="12808" max="12808" width="7" style="8" customWidth="1"/>
    <col min="12809" max="12814" width="6.25" style="8" customWidth="1"/>
    <col min="12815" max="13058" width="9" style="8"/>
    <col min="13059" max="13059" width="5.625" style="8" bestFit="1" customWidth="1"/>
    <col min="13060" max="13060" width="7" style="8" bestFit="1" customWidth="1"/>
    <col min="13061" max="13061" width="5.5" style="8" bestFit="1" customWidth="1"/>
    <col min="13062" max="13062" width="7.5" style="8" bestFit="1" customWidth="1"/>
    <col min="13063" max="13063" width="7.25" style="8" bestFit="1" customWidth="1"/>
    <col min="13064" max="13064" width="7" style="8" customWidth="1"/>
    <col min="13065" max="13070" width="6.25" style="8" customWidth="1"/>
    <col min="13071" max="13314" width="9" style="8"/>
    <col min="13315" max="13315" width="5.625" style="8" bestFit="1" customWidth="1"/>
    <col min="13316" max="13316" width="7" style="8" bestFit="1" customWidth="1"/>
    <col min="13317" max="13317" width="5.5" style="8" bestFit="1" customWidth="1"/>
    <col min="13318" max="13318" width="7.5" style="8" bestFit="1" customWidth="1"/>
    <col min="13319" max="13319" width="7.25" style="8" bestFit="1" customWidth="1"/>
    <col min="13320" max="13320" width="7" style="8" customWidth="1"/>
    <col min="13321" max="13326" width="6.25" style="8" customWidth="1"/>
    <col min="13327" max="13570" width="9" style="8"/>
    <col min="13571" max="13571" width="5.625" style="8" bestFit="1" customWidth="1"/>
    <col min="13572" max="13572" width="7" style="8" bestFit="1" customWidth="1"/>
    <col min="13573" max="13573" width="5.5" style="8" bestFit="1" customWidth="1"/>
    <col min="13574" max="13574" width="7.5" style="8" bestFit="1" customWidth="1"/>
    <col min="13575" max="13575" width="7.25" style="8" bestFit="1" customWidth="1"/>
    <col min="13576" max="13576" width="7" style="8" customWidth="1"/>
    <col min="13577" max="13582" width="6.25" style="8" customWidth="1"/>
    <col min="13583" max="13826" width="9" style="8"/>
    <col min="13827" max="13827" width="5.625" style="8" bestFit="1" customWidth="1"/>
    <col min="13828" max="13828" width="7" style="8" bestFit="1" customWidth="1"/>
    <col min="13829" max="13829" width="5.5" style="8" bestFit="1" customWidth="1"/>
    <col min="13830" max="13830" width="7.5" style="8" bestFit="1" customWidth="1"/>
    <col min="13831" max="13831" width="7.25" style="8" bestFit="1" customWidth="1"/>
    <col min="13832" max="13832" width="7" style="8" customWidth="1"/>
    <col min="13833" max="13838" width="6.25" style="8" customWidth="1"/>
    <col min="13839" max="14082" width="9" style="8"/>
    <col min="14083" max="14083" width="5.625" style="8" bestFit="1" customWidth="1"/>
    <col min="14084" max="14084" width="7" style="8" bestFit="1" customWidth="1"/>
    <col min="14085" max="14085" width="5.5" style="8" bestFit="1" customWidth="1"/>
    <col min="14086" max="14086" width="7.5" style="8" bestFit="1" customWidth="1"/>
    <col min="14087" max="14087" width="7.25" style="8" bestFit="1" customWidth="1"/>
    <col min="14088" max="14088" width="7" style="8" customWidth="1"/>
    <col min="14089" max="14094" width="6.25" style="8" customWidth="1"/>
    <col min="14095" max="14338" width="9" style="8"/>
    <col min="14339" max="14339" width="5.625" style="8" bestFit="1" customWidth="1"/>
    <col min="14340" max="14340" width="7" style="8" bestFit="1" customWidth="1"/>
    <col min="14341" max="14341" width="5.5" style="8" bestFit="1" customWidth="1"/>
    <col min="14342" max="14342" width="7.5" style="8" bestFit="1" customWidth="1"/>
    <col min="14343" max="14343" width="7.25" style="8" bestFit="1" customWidth="1"/>
    <col min="14344" max="14344" width="7" style="8" customWidth="1"/>
    <col min="14345" max="14350" width="6.25" style="8" customWidth="1"/>
    <col min="14351" max="14594" width="9" style="8"/>
    <col min="14595" max="14595" width="5.625" style="8" bestFit="1" customWidth="1"/>
    <col min="14596" max="14596" width="7" style="8" bestFit="1" customWidth="1"/>
    <col min="14597" max="14597" width="5.5" style="8" bestFit="1" customWidth="1"/>
    <col min="14598" max="14598" width="7.5" style="8" bestFit="1" customWidth="1"/>
    <col min="14599" max="14599" width="7.25" style="8" bestFit="1" customWidth="1"/>
    <col min="14600" max="14600" width="7" style="8" customWidth="1"/>
    <col min="14601" max="14606" width="6.25" style="8" customWidth="1"/>
    <col min="14607" max="14850" width="9" style="8"/>
    <col min="14851" max="14851" width="5.625" style="8" bestFit="1" customWidth="1"/>
    <col min="14852" max="14852" width="7" style="8" bestFit="1" customWidth="1"/>
    <col min="14853" max="14853" width="5.5" style="8" bestFit="1" customWidth="1"/>
    <col min="14854" max="14854" width="7.5" style="8" bestFit="1" customWidth="1"/>
    <col min="14855" max="14855" width="7.25" style="8" bestFit="1" customWidth="1"/>
    <col min="14856" max="14856" width="7" style="8" customWidth="1"/>
    <col min="14857" max="14862" width="6.25" style="8" customWidth="1"/>
    <col min="14863" max="15106" width="9" style="8"/>
    <col min="15107" max="15107" width="5.625" style="8" bestFit="1" customWidth="1"/>
    <col min="15108" max="15108" width="7" style="8" bestFit="1" customWidth="1"/>
    <col min="15109" max="15109" width="5.5" style="8" bestFit="1" customWidth="1"/>
    <col min="15110" max="15110" width="7.5" style="8" bestFit="1" customWidth="1"/>
    <col min="15111" max="15111" width="7.25" style="8" bestFit="1" customWidth="1"/>
    <col min="15112" max="15112" width="7" style="8" customWidth="1"/>
    <col min="15113" max="15118" width="6.25" style="8" customWidth="1"/>
    <col min="15119" max="15362" width="9" style="8"/>
    <col min="15363" max="15363" width="5.625" style="8" bestFit="1" customWidth="1"/>
    <col min="15364" max="15364" width="7" style="8" bestFit="1" customWidth="1"/>
    <col min="15365" max="15365" width="5.5" style="8" bestFit="1" customWidth="1"/>
    <col min="15366" max="15366" width="7.5" style="8" bestFit="1" customWidth="1"/>
    <col min="15367" max="15367" width="7.25" style="8" bestFit="1" customWidth="1"/>
    <col min="15368" max="15368" width="7" style="8" customWidth="1"/>
    <col min="15369" max="15374" width="6.25" style="8" customWidth="1"/>
    <col min="15375" max="15618" width="9" style="8"/>
    <col min="15619" max="15619" width="5.625" style="8" bestFit="1" customWidth="1"/>
    <col min="15620" max="15620" width="7" style="8" bestFit="1" customWidth="1"/>
    <col min="15621" max="15621" width="5.5" style="8" bestFit="1" customWidth="1"/>
    <col min="15622" max="15622" width="7.5" style="8" bestFit="1" customWidth="1"/>
    <col min="15623" max="15623" width="7.25" style="8" bestFit="1" customWidth="1"/>
    <col min="15624" max="15624" width="7" style="8" customWidth="1"/>
    <col min="15625" max="15630" width="6.25" style="8" customWidth="1"/>
    <col min="15631" max="15874" width="9" style="8"/>
    <col min="15875" max="15875" width="5.625" style="8" bestFit="1" customWidth="1"/>
    <col min="15876" max="15876" width="7" style="8" bestFit="1" customWidth="1"/>
    <col min="15877" max="15877" width="5.5" style="8" bestFit="1" customWidth="1"/>
    <col min="15878" max="15878" width="7.5" style="8" bestFit="1" customWidth="1"/>
    <col min="15879" max="15879" width="7.25" style="8" bestFit="1" customWidth="1"/>
    <col min="15880" max="15880" width="7" style="8" customWidth="1"/>
    <col min="15881" max="15886" width="6.25" style="8" customWidth="1"/>
    <col min="15887" max="16130" width="9" style="8"/>
    <col min="16131" max="16131" width="5.625" style="8" bestFit="1" customWidth="1"/>
    <col min="16132" max="16132" width="7" style="8" bestFit="1" customWidth="1"/>
    <col min="16133" max="16133" width="5.5" style="8" bestFit="1" customWidth="1"/>
    <col min="16134" max="16134" width="7.5" style="8" bestFit="1" customWidth="1"/>
    <col min="16135" max="16135" width="7.25" style="8" bestFit="1" customWidth="1"/>
    <col min="16136" max="16136" width="7" style="8" customWidth="1"/>
    <col min="16137" max="16142" width="6.25" style="8" customWidth="1"/>
    <col min="16143" max="16384" width="9" style="8"/>
  </cols>
  <sheetData>
    <row r="1" spans="1:12" ht="23.25" customHeight="1">
      <c r="A1" s="776" t="s">
        <v>37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</row>
    <row r="2" spans="1:12" s="10" customFormat="1" ht="20.25" customHeight="1" thickBot="1">
      <c r="A2" s="797"/>
      <c r="B2" s="797"/>
      <c r="C2" s="9"/>
      <c r="D2" s="9"/>
      <c r="E2" s="9"/>
      <c r="F2" s="9"/>
      <c r="H2" s="11"/>
    </row>
    <row r="3" spans="1:12" s="10" customFormat="1" ht="20.25" hidden="1" customHeight="1">
      <c r="A3" s="788" t="s">
        <v>38</v>
      </c>
      <c r="B3" s="778" t="s">
        <v>39</v>
      </c>
      <c r="C3" s="778" t="s">
        <v>40</v>
      </c>
      <c r="D3" s="778" t="s">
        <v>41</v>
      </c>
      <c r="E3" s="778" t="s">
        <v>42</v>
      </c>
      <c r="F3" s="778" t="s">
        <v>43</v>
      </c>
      <c r="G3" s="778" t="s">
        <v>37</v>
      </c>
      <c r="H3" s="781" t="s">
        <v>44</v>
      </c>
      <c r="I3" s="782"/>
      <c r="J3" s="782"/>
      <c r="K3" s="783"/>
      <c r="L3" s="784" t="s">
        <v>45</v>
      </c>
    </row>
    <row r="4" spans="1:12" s="10" customFormat="1" ht="20.25" hidden="1" customHeight="1">
      <c r="A4" s="789"/>
      <c r="B4" s="779"/>
      <c r="C4" s="779"/>
      <c r="D4" s="779"/>
      <c r="E4" s="779"/>
      <c r="F4" s="779"/>
      <c r="G4" s="780"/>
      <c r="H4" s="12" t="s">
        <v>46</v>
      </c>
      <c r="I4" s="12" t="s">
        <v>47</v>
      </c>
      <c r="J4" s="12" t="s">
        <v>48</v>
      </c>
      <c r="K4" s="12" t="s">
        <v>49</v>
      </c>
      <c r="L4" s="785"/>
    </row>
    <row r="5" spans="1:12" s="10" customFormat="1" ht="20.25" hidden="1" customHeight="1">
      <c r="A5" s="790"/>
      <c r="B5" s="780"/>
      <c r="C5" s="780"/>
      <c r="D5" s="780"/>
      <c r="E5" s="780"/>
      <c r="F5" s="780"/>
      <c r="G5" s="12" t="s">
        <v>50</v>
      </c>
      <c r="H5" s="12" t="s">
        <v>50</v>
      </c>
      <c r="I5" s="12" t="s">
        <v>50</v>
      </c>
      <c r="J5" s="12" t="s">
        <v>50</v>
      </c>
      <c r="K5" s="12" t="s">
        <v>50</v>
      </c>
      <c r="L5" s="13" t="s">
        <v>50</v>
      </c>
    </row>
    <row r="6" spans="1:12" ht="20.25" hidden="1" customHeight="1">
      <c r="A6" s="14" t="s">
        <v>51</v>
      </c>
      <c r="B6" s="15" t="s">
        <v>52</v>
      </c>
      <c r="C6" s="15" t="s">
        <v>52</v>
      </c>
      <c r="D6" s="15" t="s">
        <v>52</v>
      </c>
      <c r="E6" s="15" t="s">
        <v>52</v>
      </c>
      <c r="F6" s="15" t="s">
        <v>52</v>
      </c>
      <c r="G6" s="16">
        <v>88.148421975312957</v>
      </c>
      <c r="H6" s="17">
        <v>85.07093073984295</v>
      </c>
      <c r="I6" s="18">
        <v>85.855671765415892</v>
      </c>
      <c r="J6" s="18">
        <v>84.173947441337532</v>
      </c>
      <c r="K6" s="19">
        <v>84.346765483458057</v>
      </c>
      <c r="L6" s="47">
        <v>91.562869594454767</v>
      </c>
    </row>
    <row r="7" spans="1:12" ht="23.25" hidden="1" customHeight="1">
      <c r="A7" s="792" t="s">
        <v>53</v>
      </c>
      <c r="B7" s="21" t="s">
        <v>54</v>
      </c>
      <c r="C7" s="22">
        <v>4</v>
      </c>
      <c r="D7" s="22">
        <v>220</v>
      </c>
      <c r="E7" s="22">
        <v>102</v>
      </c>
      <c r="F7" s="22">
        <v>21</v>
      </c>
      <c r="G7" s="16">
        <f>AVERAGE(H7,L7)</f>
        <v>86.133758029738317</v>
      </c>
      <c r="H7" s="17">
        <v>81.251264517747501</v>
      </c>
      <c r="I7" s="17">
        <v>80.979526133227864</v>
      </c>
      <c r="J7" s="17">
        <v>79.754503628534479</v>
      </c>
      <c r="K7" s="17">
        <v>84.711424186874993</v>
      </c>
      <c r="L7" s="20">
        <v>91.016251541729147</v>
      </c>
    </row>
    <row r="8" spans="1:12" ht="23.25" hidden="1" customHeight="1">
      <c r="A8" s="793"/>
      <c r="B8" s="21" t="s">
        <v>55</v>
      </c>
      <c r="C8" s="22">
        <v>4</v>
      </c>
      <c r="D8" s="22">
        <v>214</v>
      </c>
      <c r="E8" s="22">
        <v>96</v>
      </c>
      <c r="F8" s="22">
        <v>18</v>
      </c>
      <c r="G8" s="16">
        <f t="shared" ref="G8:G28" si="0">AVERAGE(H8,L8)</f>
        <v>87.508097641123328</v>
      </c>
      <c r="H8" s="17">
        <v>83.813841705080023</v>
      </c>
      <c r="I8" s="17">
        <v>84.034106822978728</v>
      </c>
      <c r="J8" s="17">
        <v>82.852665518155732</v>
      </c>
      <c r="K8" s="17">
        <v>84.824535329930526</v>
      </c>
      <c r="L8" s="20">
        <v>91.202353577166647</v>
      </c>
    </row>
    <row r="9" spans="1:12" ht="23.25" hidden="1" customHeight="1">
      <c r="A9" s="793"/>
      <c r="B9" s="21" t="s">
        <v>56</v>
      </c>
      <c r="C9" s="22">
        <v>4</v>
      </c>
      <c r="D9" s="22">
        <v>205</v>
      </c>
      <c r="E9" s="22">
        <v>87</v>
      </c>
      <c r="F9" s="22">
        <v>13</v>
      </c>
      <c r="G9" s="16">
        <f t="shared" si="0"/>
        <v>88.454351785473648</v>
      </c>
      <c r="H9" s="17">
        <v>85.415914736190388</v>
      </c>
      <c r="I9" s="17">
        <v>85.134681129390458</v>
      </c>
      <c r="J9" s="17">
        <v>85.316507721875013</v>
      </c>
      <c r="K9" s="17">
        <v>86.422546594509967</v>
      </c>
      <c r="L9" s="20">
        <v>91.492788834756908</v>
      </c>
    </row>
    <row r="10" spans="1:12" ht="23.25" hidden="1" customHeight="1">
      <c r="A10" s="793"/>
      <c r="B10" s="21" t="s">
        <v>57</v>
      </c>
      <c r="C10" s="22">
        <v>4</v>
      </c>
      <c r="D10" s="22">
        <v>211</v>
      </c>
      <c r="E10" s="22">
        <v>93</v>
      </c>
      <c r="F10" s="22">
        <v>16</v>
      </c>
      <c r="G10" s="16">
        <f t="shared" si="0"/>
        <v>88.058323557547567</v>
      </c>
      <c r="H10" s="17">
        <v>85.666685143956258</v>
      </c>
      <c r="I10" s="17">
        <v>86.750599109278411</v>
      </c>
      <c r="J10" s="17">
        <v>84.48927289042372</v>
      </c>
      <c r="K10" s="17">
        <v>84.946765533124974</v>
      </c>
      <c r="L10" s="20">
        <v>90.449961971138876</v>
      </c>
    </row>
    <row r="11" spans="1:12" ht="23.25" hidden="1" customHeight="1">
      <c r="A11" s="793"/>
      <c r="B11" s="21" t="s">
        <v>58</v>
      </c>
      <c r="C11" s="22">
        <v>4</v>
      </c>
      <c r="D11" s="22">
        <v>179</v>
      </c>
      <c r="E11" s="22">
        <v>65</v>
      </c>
      <c r="F11" s="22">
        <v>2</v>
      </c>
      <c r="G11" s="16">
        <f t="shared" si="0"/>
        <v>89.482531136315714</v>
      </c>
      <c r="H11" s="17">
        <v>87.040303836693937</v>
      </c>
      <c r="I11" s="17">
        <v>87.584756735746709</v>
      </c>
      <c r="J11" s="17">
        <v>85.785162541485221</v>
      </c>
      <c r="K11" s="17">
        <v>87.536398881644715</v>
      </c>
      <c r="L11" s="20">
        <v>91.924758435937505</v>
      </c>
    </row>
    <row r="12" spans="1:12" ht="23.25" hidden="1" customHeight="1">
      <c r="A12" s="793"/>
      <c r="B12" s="21" t="s">
        <v>59</v>
      </c>
      <c r="C12" s="22">
        <v>4</v>
      </c>
      <c r="D12" s="22">
        <v>197</v>
      </c>
      <c r="E12" s="22">
        <v>79</v>
      </c>
      <c r="F12" s="22">
        <v>7</v>
      </c>
      <c r="G12" s="16">
        <f t="shared" si="0"/>
        <v>88.836164161495361</v>
      </c>
      <c r="H12" s="17">
        <v>86.15643197583104</v>
      </c>
      <c r="I12" s="17">
        <v>87.670861634063243</v>
      </c>
      <c r="J12" s="17">
        <v>84.277565993527844</v>
      </c>
      <c r="K12" s="17">
        <v>85.331961693238995</v>
      </c>
      <c r="L12" s="20">
        <v>91.515896347159668</v>
      </c>
    </row>
    <row r="13" spans="1:12" ht="23.25" hidden="1" customHeight="1">
      <c r="A13" s="793"/>
      <c r="B13" s="21" t="s">
        <v>60</v>
      </c>
      <c r="C13" s="22">
        <v>4</v>
      </c>
      <c r="D13" s="22">
        <v>201</v>
      </c>
      <c r="E13" s="22">
        <v>83</v>
      </c>
      <c r="F13" s="22">
        <v>10</v>
      </c>
      <c r="G13" s="16">
        <f t="shared" si="0"/>
        <v>88.620015847877539</v>
      </c>
      <c r="H13" s="17">
        <v>86.238860560373155</v>
      </c>
      <c r="I13" s="17">
        <v>86.526109329996387</v>
      </c>
      <c r="J13" s="17">
        <v>84.85873639342671</v>
      </c>
      <c r="K13" s="17">
        <v>87.72983401835711</v>
      </c>
      <c r="L13" s="20">
        <v>91.001171135381909</v>
      </c>
    </row>
    <row r="14" spans="1:12" ht="23.25" hidden="1" customHeight="1">
      <c r="A14" s="793"/>
      <c r="B14" s="21" t="s">
        <v>61</v>
      </c>
      <c r="C14" s="22">
        <v>4</v>
      </c>
      <c r="D14" s="22">
        <v>200</v>
      </c>
      <c r="E14" s="22">
        <v>82</v>
      </c>
      <c r="F14" s="22">
        <v>9</v>
      </c>
      <c r="G14" s="16">
        <f t="shared" si="0"/>
        <v>88.642709899476273</v>
      </c>
      <c r="H14" s="17">
        <v>83.601916016528989</v>
      </c>
      <c r="I14" s="17">
        <v>87.350016628414139</v>
      </c>
      <c r="J14" s="17">
        <v>80.839710717830187</v>
      </c>
      <c r="K14" s="17">
        <v>77.201000679032234</v>
      </c>
      <c r="L14" s="20">
        <v>93.683503782423571</v>
      </c>
    </row>
    <row r="15" spans="1:12" ht="23.25" hidden="1" customHeight="1">
      <c r="A15" s="793"/>
      <c r="B15" s="21" t="s">
        <v>62</v>
      </c>
      <c r="C15" s="22">
        <v>4</v>
      </c>
      <c r="D15" s="22">
        <v>186</v>
      </c>
      <c r="E15" s="22">
        <v>70</v>
      </c>
      <c r="F15" s="22">
        <v>3</v>
      </c>
      <c r="G15" s="16">
        <f t="shared" si="0"/>
        <v>89.339006833370277</v>
      </c>
      <c r="H15" s="17">
        <v>85.649228276775332</v>
      </c>
      <c r="I15" s="17">
        <v>86.642988832825296</v>
      </c>
      <c r="J15" s="17">
        <v>82.990963712235555</v>
      </c>
      <c r="K15" s="17">
        <v>87.338550434469667</v>
      </c>
      <c r="L15" s="20">
        <v>93.028785389965222</v>
      </c>
    </row>
    <row r="16" spans="1:12" ht="23.25" hidden="1" customHeight="1">
      <c r="A16" s="793"/>
      <c r="B16" s="21" t="s">
        <v>63</v>
      </c>
      <c r="C16" s="22">
        <v>4</v>
      </c>
      <c r="D16" s="22">
        <v>206</v>
      </c>
      <c r="E16" s="22">
        <v>88</v>
      </c>
      <c r="F16" s="22">
        <v>14</v>
      </c>
      <c r="G16" s="16">
        <f t="shared" si="0"/>
        <v>88.453048943260242</v>
      </c>
      <c r="H16" s="17">
        <v>85.205746345367714</v>
      </c>
      <c r="I16" s="17">
        <v>86.94427324799058</v>
      </c>
      <c r="J16" s="17">
        <v>84.562817541598363</v>
      </c>
      <c r="K16" s="17">
        <v>81.07324452309544</v>
      </c>
      <c r="L16" s="20">
        <v>91.70035154115277</v>
      </c>
    </row>
    <row r="17" spans="1:12" ht="23.25" hidden="1" customHeight="1">
      <c r="A17" s="793"/>
      <c r="B17" s="21" t="s">
        <v>64</v>
      </c>
      <c r="C17" s="22">
        <v>4</v>
      </c>
      <c r="D17" s="22">
        <v>152</v>
      </c>
      <c r="E17" s="22">
        <v>46</v>
      </c>
      <c r="F17" s="22">
        <v>1</v>
      </c>
      <c r="G17" s="16">
        <f t="shared" si="0"/>
        <v>90.762146663263977</v>
      </c>
      <c r="H17" s="17">
        <v>86.364441655500215</v>
      </c>
      <c r="I17" s="17">
        <v>86.3255669616658</v>
      </c>
      <c r="J17" s="17">
        <v>87.332574574583305</v>
      </c>
      <c r="K17" s="17">
        <v>84.852509059357104</v>
      </c>
      <c r="L17" s="20">
        <v>95.159851671027738</v>
      </c>
    </row>
    <row r="18" spans="1:12" ht="23.25" hidden="1" customHeight="1">
      <c r="A18" s="793"/>
      <c r="B18" s="21" t="s">
        <v>65</v>
      </c>
      <c r="C18" s="22">
        <v>4</v>
      </c>
      <c r="D18" s="22">
        <v>219</v>
      </c>
      <c r="E18" s="22">
        <v>101</v>
      </c>
      <c r="F18" s="22">
        <v>20</v>
      </c>
      <c r="G18" s="16">
        <f t="shared" si="0"/>
        <v>86.800283662701986</v>
      </c>
      <c r="H18" s="17">
        <v>83.54697051524424</v>
      </c>
      <c r="I18" s="17">
        <v>84.456008689220297</v>
      </c>
      <c r="J18" s="17">
        <v>81.578465650691939</v>
      </c>
      <c r="K18" s="17">
        <v>83.922057703716206</v>
      </c>
      <c r="L18" s="20">
        <v>90.053596810159718</v>
      </c>
    </row>
    <row r="19" spans="1:12" ht="23.25" hidden="1" customHeight="1">
      <c r="A19" s="793"/>
      <c r="B19" s="21" t="s">
        <v>66</v>
      </c>
      <c r="C19" s="22">
        <v>4</v>
      </c>
      <c r="D19" s="22">
        <v>203</v>
      </c>
      <c r="E19" s="22">
        <v>85</v>
      </c>
      <c r="F19" s="22">
        <v>11</v>
      </c>
      <c r="G19" s="16">
        <f t="shared" si="0"/>
        <v>88.525226000500481</v>
      </c>
      <c r="H19" s="17">
        <v>82.951210746591244</v>
      </c>
      <c r="I19" s="17">
        <v>83.543721567099468</v>
      </c>
      <c r="J19" s="17">
        <v>82.988707431885942</v>
      </c>
      <c r="K19" s="17">
        <v>81.216640523286344</v>
      </c>
      <c r="L19" s="20">
        <v>94.099241254409705</v>
      </c>
    </row>
    <row r="20" spans="1:12" ht="23.25" hidden="1" customHeight="1">
      <c r="A20" s="793"/>
      <c r="B20" s="21" t="s">
        <v>67</v>
      </c>
      <c r="C20" s="22">
        <v>4</v>
      </c>
      <c r="D20" s="22">
        <v>199</v>
      </c>
      <c r="E20" s="22">
        <v>81</v>
      </c>
      <c r="F20" s="22">
        <v>8</v>
      </c>
      <c r="G20" s="16">
        <f t="shared" si="0"/>
        <v>88.695383031635714</v>
      </c>
      <c r="H20" s="17">
        <v>85.917904634327002</v>
      </c>
      <c r="I20" s="17">
        <v>85.350198451266664</v>
      </c>
      <c r="J20" s="17">
        <v>86.97513224964284</v>
      </c>
      <c r="K20" s="17">
        <v>85.897601872182875</v>
      </c>
      <c r="L20" s="20">
        <v>91.472861428944427</v>
      </c>
    </row>
    <row r="21" spans="1:12" ht="23.25" hidden="1" customHeight="1">
      <c r="A21" s="793"/>
      <c r="B21" s="21" t="s">
        <v>68</v>
      </c>
      <c r="C21" s="22">
        <v>4</v>
      </c>
      <c r="D21" s="22">
        <v>209</v>
      </c>
      <c r="E21" s="22">
        <v>91</v>
      </c>
      <c r="F21" s="22">
        <v>15</v>
      </c>
      <c r="G21" s="16">
        <f t="shared" si="0"/>
        <v>88.274707766165008</v>
      </c>
      <c r="H21" s="17">
        <v>84.578797605656433</v>
      </c>
      <c r="I21" s="17">
        <v>86.198777260118973</v>
      </c>
      <c r="J21" s="17">
        <v>85.343395327903195</v>
      </c>
      <c r="K21" s="17">
        <v>79.019726069124971</v>
      </c>
      <c r="L21" s="20">
        <v>91.970617926673583</v>
      </c>
    </row>
    <row r="22" spans="1:12" ht="23.25" hidden="1" customHeight="1">
      <c r="A22" s="793"/>
      <c r="B22" s="21" t="s">
        <v>69</v>
      </c>
      <c r="C22" s="22">
        <v>4</v>
      </c>
      <c r="D22" s="22">
        <v>218</v>
      </c>
      <c r="E22" s="22">
        <v>100</v>
      </c>
      <c r="F22" s="22">
        <v>19</v>
      </c>
      <c r="G22" s="16">
        <f t="shared" si="0"/>
        <v>87.040366248371669</v>
      </c>
      <c r="H22" s="17">
        <v>85.61490693140307</v>
      </c>
      <c r="I22" s="17">
        <v>85.089688328514896</v>
      </c>
      <c r="J22" s="17">
        <v>84.677740237604127</v>
      </c>
      <c r="K22" s="17">
        <v>88.584985729568288</v>
      </c>
      <c r="L22" s="20">
        <v>88.465825565340253</v>
      </c>
    </row>
    <row r="23" spans="1:12" ht="23.25" hidden="1" customHeight="1">
      <c r="A23" s="793"/>
      <c r="B23" s="21" t="s">
        <v>70</v>
      </c>
      <c r="C23" s="22">
        <v>4</v>
      </c>
      <c r="D23" s="22">
        <v>221</v>
      </c>
      <c r="E23" s="22">
        <v>103</v>
      </c>
      <c r="F23" s="22">
        <v>22</v>
      </c>
      <c r="G23" s="16">
        <f t="shared" si="0"/>
        <v>85.375237745719602</v>
      </c>
      <c r="H23" s="17">
        <v>81.775312336307309</v>
      </c>
      <c r="I23" s="17">
        <v>80.86476973230333</v>
      </c>
      <c r="J23" s="17">
        <v>83.414186277647033</v>
      </c>
      <c r="K23" s="17">
        <v>82.189946902241346</v>
      </c>
      <c r="L23" s="20">
        <v>88.975163155131895</v>
      </c>
    </row>
    <row r="24" spans="1:12" ht="23.25" hidden="1" customHeight="1">
      <c r="A24" s="793"/>
      <c r="B24" s="21" t="s">
        <v>71</v>
      </c>
      <c r="C24" s="22">
        <v>4</v>
      </c>
      <c r="D24" s="22">
        <v>212</v>
      </c>
      <c r="E24" s="22">
        <v>94</v>
      </c>
      <c r="F24" s="22">
        <v>17</v>
      </c>
      <c r="G24" s="16">
        <f t="shared" si="0"/>
        <v>87.818143902131624</v>
      </c>
      <c r="H24" s="17">
        <v>84.449278560603545</v>
      </c>
      <c r="I24" s="17">
        <v>85.441961049496982</v>
      </c>
      <c r="J24" s="17">
        <v>83.443525512570744</v>
      </c>
      <c r="K24" s="17">
        <v>83.597913332012098</v>
      </c>
      <c r="L24" s="20">
        <v>91.187009243659688</v>
      </c>
    </row>
    <row r="25" spans="1:12" ht="23.25" hidden="1" customHeight="1">
      <c r="A25" s="793"/>
      <c r="B25" s="21" t="s">
        <v>72</v>
      </c>
      <c r="C25" s="22">
        <v>4</v>
      </c>
      <c r="D25" s="22">
        <v>194</v>
      </c>
      <c r="E25" s="22">
        <v>76</v>
      </c>
      <c r="F25" s="22">
        <v>5</v>
      </c>
      <c r="G25" s="16">
        <f t="shared" si="0"/>
        <v>89.022491095733244</v>
      </c>
      <c r="H25" s="17">
        <v>85.863809753070711</v>
      </c>
      <c r="I25" s="17">
        <v>88.030354069486805</v>
      </c>
      <c r="J25" s="17">
        <v>82.660422066008763</v>
      </c>
      <c r="K25" s="17">
        <v>85.422523855151496</v>
      </c>
      <c r="L25" s="20">
        <v>92.181172438395777</v>
      </c>
    </row>
    <row r="26" spans="1:12" ht="23.25" hidden="1" customHeight="1">
      <c r="A26" s="793"/>
      <c r="B26" s="21" t="s">
        <v>73</v>
      </c>
      <c r="C26" s="22">
        <v>4</v>
      </c>
      <c r="D26" s="22">
        <v>187</v>
      </c>
      <c r="E26" s="22">
        <v>71</v>
      </c>
      <c r="F26" s="22">
        <v>4</v>
      </c>
      <c r="G26" s="16">
        <f t="shared" si="0"/>
        <v>89.332040287426963</v>
      </c>
      <c r="H26" s="17">
        <v>87.218961596833111</v>
      </c>
      <c r="I26" s="17">
        <v>88.610597920429754</v>
      </c>
      <c r="J26" s="17">
        <v>86.783267614166647</v>
      </c>
      <c r="K26" s="17">
        <v>84.116292416772836</v>
      </c>
      <c r="L26" s="20">
        <v>91.44511897802083</v>
      </c>
    </row>
    <row r="27" spans="1:12" ht="23.25" hidden="1" customHeight="1">
      <c r="A27" s="793"/>
      <c r="B27" s="21" t="s">
        <v>74</v>
      </c>
      <c r="C27" s="22">
        <v>4</v>
      </c>
      <c r="D27" s="22">
        <v>195</v>
      </c>
      <c r="E27" s="22">
        <v>77</v>
      </c>
      <c r="F27" s="22">
        <v>6</v>
      </c>
      <c r="G27" s="16">
        <f t="shared" si="0"/>
        <v>88.968898507421244</v>
      </c>
      <c r="H27" s="17">
        <v>84.464985124995309</v>
      </c>
      <c r="I27" s="17">
        <v>85.912568153105227</v>
      </c>
      <c r="J27" s="17">
        <v>84.691979646887262</v>
      </c>
      <c r="K27" s="17">
        <v>80.619965944340606</v>
      </c>
      <c r="L27" s="20">
        <v>93.472811889847179</v>
      </c>
    </row>
    <row r="28" spans="1:12" ht="23.25" hidden="1" customHeight="1" thickBot="1">
      <c r="A28" s="794"/>
      <c r="B28" s="23" t="s">
        <v>75</v>
      </c>
      <c r="C28" s="24">
        <v>4</v>
      </c>
      <c r="D28" s="24">
        <v>204</v>
      </c>
      <c r="E28" s="24">
        <v>86</v>
      </c>
      <c r="F28" s="24">
        <v>12</v>
      </c>
      <c r="G28" s="16">
        <f t="shared" si="0"/>
        <v>88.458158674560195</v>
      </c>
      <c r="H28" s="48">
        <v>88.032279189550991</v>
      </c>
      <c r="I28" s="48">
        <v>89.122026346996051</v>
      </c>
      <c r="J28" s="48">
        <v>86.154155912261231</v>
      </c>
      <c r="K28" s="48">
        <v>88.195847914935911</v>
      </c>
      <c r="L28" s="49">
        <v>88.884038159569414</v>
      </c>
    </row>
    <row r="29" spans="1:12" ht="23.25" hidden="1" customHeight="1" thickBot="1">
      <c r="A29" s="796"/>
      <c r="B29" s="796"/>
      <c r="C29" s="796"/>
      <c r="D29" s="796"/>
      <c r="E29" s="796"/>
      <c r="F29" s="796"/>
      <c r="G29" s="796"/>
      <c r="H29" s="796"/>
      <c r="I29" s="796"/>
      <c r="J29" s="796"/>
      <c r="K29" s="796"/>
      <c r="L29" s="796"/>
    </row>
    <row r="30" spans="1:12" ht="23.25" hidden="1" customHeight="1">
      <c r="A30" s="788" t="s">
        <v>38</v>
      </c>
      <c r="B30" s="778" t="s">
        <v>39</v>
      </c>
      <c r="C30" s="778" t="s">
        <v>40</v>
      </c>
      <c r="D30" s="778" t="s">
        <v>41</v>
      </c>
      <c r="E30" s="778" t="s">
        <v>42</v>
      </c>
      <c r="F30" s="778" t="s">
        <v>43</v>
      </c>
      <c r="G30" s="778" t="s">
        <v>37</v>
      </c>
      <c r="H30" s="781" t="s">
        <v>44</v>
      </c>
      <c r="I30" s="782"/>
      <c r="J30" s="782"/>
      <c r="K30" s="783"/>
      <c r="L30" s="784" t="s">
        <v>45</v>
      </c>
    </row>
    <row r="31" spans="1:12" ht="23.25" hidden="1" customHeight="1">
      <c r="A31" s="789"/>
      <c r="B31" s="779"/>
      <c r="C31" s="779"/>
      <c r="D31" s="779"/>
      <c r="E31" s="779"/>
      <c r="F31" s="779"/>
      <c r="G31" s="780"/>
      <c r="H31" s="12" t="s">
        <v>46</v>
      </c>
      <c r="I31" s="12" t="s">
        <v>47</v>
      </c>
      <c r="J31" s="12" t="s">
        <v>48</v>
      </c>
      <c r="K31" s="12" t="s">
        <v>49</v>
      </c>
      <c r="L31" s="785"/>
    </row>
    <row r="32" spans="1:12" ht="23.25" hidden="1" customHeight="1">
      <c r="A32" s="790"/>
      <c r="B32" s="780"/>
      <c r="C32" s="780"/>
      <c r="D32" s="780"/>
      <c r="E32" s="780"/>
      <c r="F32" s="780"/>
      <c r="G32" s="12" t="s">
        <v>50</v>
      </c>
      <c r="H32" s="12" t="s">
        <v>50</v>
      </c>
      <c r="I32" s="12" t="s">
        <v>50</v>
      </c>
      <c r="J32" s="12" t="s">
        <v>50</v>
      </c>
      <c r="K32" s="12" t="s">
        <v>50</v>
      </c>
      <c r="L32" s="13" t="s">
        <v>50</v>
      </c>
    </row>
    <row r="33" spans="1:12" ht="23.25" hidden="1" customHeight="1">
      <c r="A33" s="14" t="s">
        <v>51</v>
      </c>
      <c r="B33" s="15" t="s">
        <v>52</v>
      </c>
      <c r="C33" s="15" t="s">
        <v>52</v>
      </c>
      <c r="D33" s="15" t="s">
        <v>52</v>
      </c>
      <c r="E33" s="15" t="s">
        <v>52</v>
      </c>
      <c r="F33" s="15" t="s">
        <v>52</v>
      </c>
      <c r="G33" s="16">
        <v>89.664501988638492</v>
      </c>
      <c r="H33" s="17">
        <v>87.04180302488777</v>
      </c>
      <c r="I33" s="18">
        <v>87.39685667133773</v>
      </c>
      <c r="J33" s="18">
        <v>86.543647005495302</v>
      </c>
      <c r="K33" s="19">
        <v>87.003591752814472</v>
      </c>
      <c r="L33" s="47">
        <v>92.249423499419663</v>
      </c>
    </row>
    <row r="34" spans="1:12" ht="23.25" hidden="1" customHeight="1">
      <c r="A34" s="792" t="s">
        <v>76</v>
      </c>
      <c r="B34" s="26" t="s">
        <v>77</v>
      </c>
      <c r="C34" s="26">
        <v>4</v>
      </c>
      <c r="D34" s="26">
        <v>175</v>
      </c>
      <c r="E34" s="26">
        <v>62</v>
      </c>
      <c r="F34" s="26">
        <v>18</v>
      </c>
      <c r="G34" s="16">
        <f>AVERAGE(H34,L34)</f>
        <v>89.643120161380978</v>
      </c>
      <c r="H34" s="28">
        <v>87.835651151220262</v>
      </c>
      <c r="I34" s="28">
        <v>89.446013346110746</v>
      </c>
      <c r="J34" s="28">
        <v>87.249230422750728</v>
      </c>
      <c r="K34" s="28">
        <v>84.985695252440451</v>
      </c>
      <c r="L34" s="25">
        <v>91.450589171541679</v>
      </c>
    </row>
    <row r="35" spans="1:12" ht="23.25" hidden="1" customHeight="1">
      <c r="A35" s="793"/>
      <c r="B35" s="26" t="s">
        <v>78</v>
      </c>
      <c r="C35" s="26">
        <v>4</v>
      </c>
      <c r="D35" s="26">
        <v>184</v>
      </c>
      <c r="E35" s="26">
        <v>68</v>
      </c>
      <c r="F35" s="26">
        <v>24</v>
      </c>
      <c r="G35" s="16">
        <f t="shared" ref="G35:G72" si="1">AVERAGE(H35,L35)</f>
        <v>89.356015166106886</v>
      </c>
      <c r="H35" s="28">
        <v>87.927746207220721</v>
      </c>
      <c r="I35" s="28">
        <v>88.2008655094901</v>
      </c>
      <c r="J35" s="28">
        <v>86.21514212990563</v>
      </c>
      <c r="K35" s="28">
        <v>90.33427632533332</v>
      </c>
      <c r="L35" s="25">
        <v>90.78428412499305</v>
      </c>
    </row>
    <row r="36" spans="1:12" ht="23.25" hidden="1" customHeight="1">
      <c r="A36" s="793"/>
      <c r="B36" s="26" t="s">
        <v>79</v>
      </c>
      <c r="C36" s="22">
        <v>4</v>
      </c>
      <c r="D36" s="22">
        <v>198</v>
      </c>
      <c r="E36" s="22">
        <v>80</v>
      </c>
      <c r="F36" s="22">
        <v>31</v>
      </c>
      <c r="G36" s="16">
        <f t="shared" si="1"/>
        <v>88.777898885379742</v>
      </c>
      <c r="H36" s="28">
        <v>85.973063342370608</v>
      </c>
      <c r="I36" s="28">
        <v>89.442176616323721</v>
      </c>
      <c r="J36" s="28">
        <v>81.407633242959179</v>
      </c>
      <c r="K36" s="28">
        <v>84.657437668939366</v>
      </c>
      <c r="L36" s="25">
        <v>91.582734428388875</v>
      </c>
    </row>
    <row r="37" spans="1:12" ht="23.25" hidden="1" customHeight="1">
      <c r="A37" s="793"/>
      <c r="B37" s="21" t="s">
        <v>80</v>
      </c>
      <c r="C37" s="22">
        <v>4</v>
      </c>
      <c r="D37" s="22">
        <v>207</v>
      </c>
      <c r="E37" s="22">
        <v>89</v>
      </c>
      <c r="F37" s="22">
        <v>33</v>
      </c>
      <c r="G37" s="16">
        <f t="shared" si="1"/>
        <v>88.334554612807523</v>
      </c>
      <c r="H37" s="17">
        <v>85.798757049663664</v>
      </c>
      <c r="I37" s="17">
        <v>86.574232875200238</v>
      </c>
      <c r="J37" s="16">
        <v>84.230350154924253</v>
      </c>
      <c r="K37" s="17">
        <v>86.242964714146311</v>
      </c>
      <c r="L37" s="20">
        <v>90.870352175951396</v>
      </c>
    </row>
    <row r="38" spans="1:12" ht="23.25" hidden="1" customHeight="1">
      <c r="A38" s="793"/>
      <c r="B38" s="26" t="s">
        <v>81</v>
      </c>
      <c r="C38" s="22">
        <v>4</v>
      </c>
      <c r="D38" s="22">
        <v>208</v>
      </c>
      <c r="E38" s="22">
        <v>90</v>
      </c>
      <c r="F38" s="22">
        <v>34</v>
      </c>
      <c r="G38" s="16">
        <f t="shared" si="1"/>
        <v>88.293278248909502</v>
      </c>
      <c r="H38" s="28">
        <v>87.451755827360685</v>
      </c>
      <c r="I38" s="28">
        <v>88.627916932306007</v>
      </c>
      <c r="J38" s="28">
        <v>84.679859090835592</v>
      </c>
      <c r="K38" s="28">
        <v>89.252223219264678</v>
      </c>
      <c r="L38" s="25">
        <v>89.134800670458333</v>
      </c>
    </row>
    <row r="39" spans="1:12" ht="20.25" hidden="1" customHeight="1">
      <c r="A39" s="793"/>
      <c r="B39" s="21" t="s">
        <v>82</v>
      </c>
      <c r="C39" s="22">
        <v>4</v>
      </c>
      <c r="D39" s="22">
        <v>213</v>
      </c>
      <c r="E39" s="22">
        <v>95</v>
      </c>
      <c r="F39" s="22">
        <v>36</v>
      </c>
      <c r="G39" s="16">
        <f t="shared" si="1"/>
        <v>87.807885912646128</v>
      </c>
      <c r="H39" s="17">
        <v>85.309275231118633</v>
      </c>
      <c r="I39" s="17">
        <v>84.367269701795379</v>
      </c>
      <c r="J39" s="16">
        <v>84.544916550296762</v>
      </c>
      <c r="K39" s="17">
        <v>89.785558281290321</v>
      </c>
      <c r="L39" s="20">
        <v>90.306496594173623</v>
      </c>
    </row>
    <row r="40" spans="1:12" ht="23.25" hidden="1" customHeight="1">
      <c r="A40" s="793"/>
      <c r="B40" s="26" t="s">
        <v>83</v>
      </c>
      <c r="C40" s="22">
        <v>4</v>
      </c>
      <c r="D40" s="22">
        <v>147</v>
      </c>
      <c r="E40" s="22">
        <v>44</v>
      </c>
      <c r="F40" s="22">
        <v>8</v>
      </c>
      <c r="G40" s="16">
        <f t="shared" si="1"/>
        <v>90.821829331191665</v>
      </c>
      <c r="H40" s="28">
        <v>88.377829107744475</v>
      </c>
      <c r="I40" s="28">
        <v>88.538924500575902</v>
      </c>
      <c r="J40" s="28">
        <v>90.649820177715483</v>
      </c>
      <c r="K40" s="28">
        <v>84.749169116161255</v>
      </c>
      <c r="L40" s="25">
        <v>93.265829554638856</v>
      </c>
    </row>
    <row r="41" spans="1:12" ht="20.25" hidden="1" customHeight="1">
      <c r="A41" s="793"/>
      <c r="B41" s="26" t="s">
        <v>84</v>
      </c>
      <c r="C41" s="22">
        <v>4</v>
      </c>
      <c r="D41" s="22">
        <v>193</v>
      </c>
      <c r="E41" s="22">
        <v>75</v>
      </c>
      <c r="F41" s="22">
        <v>29</v>
      </c>
      <c r="G41" s="16">
        <f t="shared" si="1"/>
        <v>89.045215092241037</v>
      </c>
      <c r="H41" s="28">
        <v>86.449372786572354</v>
      </c>
      <c r="I41" s="28">
        <v>86.794422945302074</v>
      </c>
      <c r="J41" s="28">
        <v>85.903540815680699</v>
      </c>
      <c r="K41" s="28">
        <v>86.380036226102916</v>
      </c>
      <c r="L41" s="25">
        <v>91.641057397909719</v>
      </c>
    </row>
    <row r="42" spans="1:12" ht="20.25" hidden="1" customHeight="1">
      <c r="A42" s="793"/>
      <c r="B42" s="26" t="s">
        <v>85</v>
      </c>
      <c r="C42" s="22">
        <v>4</v>
      </c>
      <c r="D42" s="22">
        <v>217</v>
      </c>
      <c r="E42" s="22">
        <v>99</v>
      </c>
      <c r="F42" s="22">
        <v>39</v>
      </c>
      <c r="G42" s="16">
        <f t="shared" si="1"/>
        <v>87.217110551028213</v>
      </c>
      <c r="H42" s="28">
        <v>84.81297938787587</v>
      </c>
      <c r="I42" s="28">
        <v>85.607787606541436</v>
      </c>
      <c r="J42" s="28">
        <v>84.181479927727281</v>
      </c>
      <c r="K42" s="28">
        <v>83.681040481724111</v>
      </c>
      <c r="L42" s="25">
        <v>89.62124171418057</v>
      </c>
    </row>
    <row r="43" spans="1:12" ht="20.25" hidden="1" customHeight="1">
      <c r="A43" s="793"/>
      <c r="B43" s="26" t="s">
        <v>86</v>
      </c>
      <c r="C43" s="22">
        <v>4</v>
      </c>
      <c r="D43" s="22">
        <v>180</v>
      </c>
      <c r="E43" s="22">
        <v>66</v>
      </c>
      <c r="F43" s="22">
        <v>20</v>
      </c>
      <c r="G43" s="16">
        <f t="shared" si="1"/>
        <v>89.474228430994728</v>
      </c>
      <c r="H43" s="28">
        <v>86.401125519704706</v>
      </c>
      <c r="I43" s="28">
        <v>86.868738968649566</v>
      </c>
      <c r="J43" s="28">
        <v>86.279216784444031</v>
      </c>
      <c r="K43" s="28">
        <v>85.350572446347428</v>
      </c>
      <c r="L43" s="25">
        <v>92.54733134228475</v>
      </c>
    </row>
    <row r="44" spans="1:12" ht="20.25" hidden="1" customHeight="1">
      <c r="A44" s="793"/>
      <c r="B44" s="21" t="s">
        <v>87</v>
      </c>
      <c r="C44" s="22">
        <v>4</v>
      </c>
      <c r="D44" s="22">
        <v>216</v>
      </c>
      <c r="E44" s="22">
        <v>98</v>
      </c>
      <c r="F44" s="22">
        <v>38</v>
      </c>
      <c r="G44" s="16">
        <f t="shared" si="1"/>
        <v>87.271756768438905</v>
      </c>
      <c r="H44" s="17">
        <v>84.319916519169439</v>
      </c>
      <c r="I44" s="17">
        <v>83.781132711859826</v>
      </c>
      <c r="J44" s="17">
        <v>83.769402443743601</v>
      </c>
      <c r="K44" s="17">
        <v>86.837786984583317</v>
      </c>
      <c r="L44" s="20">
        <v>90.223597017708357</v>
      </c>
    </row>
    <row r="45" spans="1:12" ht="20.25" hidden="1" customHeight="1">
      <c r="A45" s="793"/>
      <c r="B45" s="26" t="s">
        <v>88</v>
      </c>
      <c r="C45" s="22">
        <v>4</v>
      </c>
      <c r="D45" s="22">
        <v>182</v>
      </c>
      <c r="E45" s="22">
        <v>67</v>
      </c>
      <c r="F45" s="22">
        <v>22</v>
      </c>
      <c r="G45" s="16">
        <f t="shared" si="1"/>
        <v>89.402632514231215</v>
      </c>
      <c r="H45" s="28">
        <v>85.838789527656871</v>
      </c>
      <c r="I45" s="28">
        <v>85.251670461650988</v>
      </c>
      <c r="J45" s="28">
        <v>85.854782493640329</v>
      </c>
      <c r="K45" s="28">
        <v>87.39075125585525</v>
      </c>
      <c r="L45" s="25">
        <v>92.966475500805544</v>
      </c>
    </row>
    <row r="46" spans="1:12" ht="20.25" hidden="1" customHeight="1">
      <c r="A46" s="793"/>
      <c r="B46" s="21" t="s">
        <v>89</v>
      </c>
      <c r="C46" s="22">
        <v>4</v>
      </c>
      <c r="D46" s="22">
        <v>202</v>
      </c>
      <c r="E46" s="22">
        <v>84</v>
      </c>
      <c r="F46" s="22">
        <v>32</v>
      </c>
      <c r="G46" s="16">
        <f t="shared" si="1"/>
        <v>88.570259650803308</v>
      </c>
      <c r="H46" s="28">
        <v>86.140253621064943</v>
      </c>
      <c r="I46" s="28">
        <v>88.085096113043704</v>
      </c>
      <c r="J46" s="28">
        <v>86.042035329633876</v>
      </c>
      <c r="K46" s="28">
        <v>81.02120368739736</v>
      </c>
      <c r="L46" s="25">
        <v>91.000265680541673</v>
      </c>
    </row>
    <row r="47" spans="1:12" ht="20.25" hidden="1" customHeight="1">
      <c r="A47" s="793"/>
      <c r="B47" s="21" t="s">
        <v>90</v>
      </c>
      <c r="C47" s="22">
        <v>4</v>
      </c>
      <c r="D47" s="22">
        <v>190</v>
      </c>
      <c r="E47" s="22">
        <v>73</v>
      </c>
      <c r="F47" s="22">
        <v>27</v>
      </c>
      <c r="G47" s="16">
        <f t="shared" si="1"/>
        <v>89.219273704802092</v>
      </c>
      <c r="H47" s="28">
        <v>86.932557931534774</v>
      </c>
      <c r="I47" s="28">
        <v>90.329337908489819</v>
      </c>
      <c r="J47" s="28">
        <v>78.691225842110555</v>
      </c>
      <c r="K47" s="28">
        <v>92.636039181777463</v>
      </c>
      <c r="L47" s="25">
        <v>91.505989478069409</v>
      </c>
    </row>
    <row r="48" spans="1:12" ht="20.25" hidden="1" customHeight="1">
      <c r="A48" s="793"/>
      <c r="B48" s="21" t="s">
        <v>91</v>
      </c>
      <c r="C48" s="22">
        <v>4</v>
      </c>
      <c r="D48" s="22">
        <v>210</v>
      </c>
      <c r="E48" s="22">
        <v>92</v>
      </c>
      <c r="F48" s="22">
        <v>35</v>
      </c>
      <c r="G48" s="16">
        <f t="shared" si="1"/>
        <v>88.17836295388615</v>
      </c>
      <c r="H48" s="17">
        <v>86.146860554251433</v>
      </c>
      <c r="I48" s="17">
        <v>85.650924559713843</v>
      </c>
      <c r="J48" s="17">
        <v>85.610209312735833</v>
      </c>
      <c r="K48" s="17">
        <v>88.080338424999979</v>
      </c>
      <c r="L48" s="20">
        <v>90.209865353520868</v>
      </c>
    </row>
    <row r="49" spans="1:12" ht="20.25" hidden="1" customHeight="1">
      <c r="A49" s="793"/>
      <c r="B49" s="21" t="s">
        <v>92</v>
      </c>
      <c r="C49" s="22">
        <v>4</v>
      </c>
      <c r="D49" s="22">
        <v>185</v>
      </c>
      <c r="E49" s="22">
        <v>69</v>
      </c>
      <c r="F49" s="22">
        <v>25</v>
      </c>
      <c r="G49" s="16">
        <f t="shared" si="1"/>
        <v>89.351943565102331</v>
      </c>
      <c r="H49" s="17">
        <v>85.480290825399123</v>
      </c>
      <c r="I49" s="17">
        <v>85.92173992948797</v>
      </c>
      <c r="J49" s="17">
        <v>83.207441613443393</v>
      </c>
      <c r="K49" s="17">
        <v>87.857694409027758</v>
      </c>
      <c r="L49" s="20">
        <v>93.22359630480554</v>
      </c>
    </row>
    <row r="50" spans="1:12" ht="20.25" hidden="1" customHeight="1">
      <c r="A50" s="793"/>
      <c r="B50" s="21" t="s">
        <v>93</v>
      </c>
      <c r="C50" s="22">
        <v>4</v>
      </c>
      <c r="D50" s="22">
        <v>173</v>
      </c>
      <c r="E50" s="22">
        <v>61</v>
      </c>
      <c r="F50" s="22">
        <v>16</v>
      </c>
      <c r="G50" s="16">
        <f t="shared" si="1"/>
        <v>89.750484918553298</v>
      </c>
      <c r="H50" s="17">
        <v>87.860223258544082</v>
      </c>
      <c r="I50" s="17">
        <v>88.776203063253234</v>
      </c>
      <c r="J50" s="16">
        <v>86.034740184295131</v>
      </c>
      <c r="K50" s="17">
        <v>88.843242898499966</v>
      </c>
      <c r="L50" s="20">
        <v>91.640746578562499</v>
      </c>
    </row>
    <row r="51" spans="1:12" ht="20.25" hidden="1" customHeight="1">
      <c r="A51" s="793"/>
      <c r="B51" s="21" t="s">
        <v>94</v>
      </c>
      <c r="C51" s="22">
        <v>4</v>
      </c>
      <c r="D51" s="22">
        <v>196</v>
      </c>
      <c r="E51" s="22">
        <v>78</v>
      </c>
      <c r="F51" s="22">
        <v>30</v>
      </c>
      <c r="G51" s="16">
        <f t="shared" si="1"/>
        <v>88.884478042322655</v>
      </c>
      <c r="H51" s="17">
        <v>88.608061089048107</v>
      </c>
      <c r="I51" s="17">
        <v>89.059458492583119</v>
      </c>
      <c r="J51" s="17">
        <v>87.40722142298867</v>
      </c>
      <c r="K51" s="17">
        <v>89.497505043152913</v>
      </c>
      <c r="L51" s="20">
        <v>89.160894995597189</v>
      </c>
    </row>
    <row r="52" spans="1:12" ht="20.25" hidden="1" customHeight="1">
      <c r="A52" s="793"/>
      <c r="B52" s="26" t="s">
        <v>95</v>
      </c>
      <c r="C52" s="22">
        <v>4</v>
      </c>
      <c r="D52" s="22">
        <v>215</v>
      </c>
      <c r="E52" s="22">
        <v>97</v>
      </c>
      <c r="F52" s="22">
        <v>37</v>
      </c>
      <c r="G52" s="16">
        <f t="shared" si="1"/>
        <v>87.336893802962948</v>
      </c>
      <c r="H52" s="28">
        <v>82.663808865134243</v>
      </c>
      <c r="I52" s="28">
        <v>83.674193618212684</v>
      </c>
      <c r="J52" s="28">
        <v>80.853386216249973</v>
      </c>
      <c r="K52" s="28">
        <v>82.768666704864842</v>
      </c>
      <c r="L52" s="25">
        <v>92.009978740791652</v>
      </c>
    </row>
    <row r="53" spans="1:12" ht="20.25" hidden="1" customHeight="1">
      <c r="A53" s="793"/>
      <c r="B53" s="26" t="s">
        <v>96</v>
      </c>
      <c r="C53" s="26">
        <v>4</v>
      </c>
      <c r="D53" s="26">
        <v>170</v>
      </c>
      <c r="E53" s="26">
        <v>58</v>
      </c>
      <c r="F53" s="26">
        <v>15</v>
      </c>
      <c r="G53" s="16">
        <f t="shared" si="1"/>
        <v>89.847292554668144</v>
      </c>
      <c r="H53" s="28">
        <v>88.314110471683549</v>
      </c>
      <c r="I53" s="28">
        <v>88.053140688077363</v>
      </c>
      <c r="J53" s="28">
        <v>89.405784156504339</v>
      </c>
      <c r="K53" s="28">
        <v>87.105373353141033</v>
      </c>
      <c r="L53" s="25">
        <v>91.380474637652753</v>
      </c>
    </row>
    <row r="54" spans="1:12" ht="20.25" hidden="1" customHeight="1">
      <c r="A54" s="793"/>
      <c r="B54" s="26" t="s">
        <v>97</v>
      </c>
      <c r="C54" s="22">
        <v>4</v>
      </c>
      <c r="D54" s="22">
        <v>176</v>
      </c>
      <c r="E54" s="22">
        <v>63</v>
      </c>
      <c r="F54" s="22">
        <v>19</v>
      </c>
      <c r="G54" s="16">
        <f t="shared" si="1"/>
        <v>89.626843044162825</v>
      </c>
      <c r="H54" s="28">
        <v>87.060347482561767</v>
      </c>
      <c r="I54" s="28">
        <v>86.994879480563895</v>
      </c>
      <c r="J54" s="28">
        <v>85.852962738935162</v>
      </c>
      <c r="K54" s="28">
        <v>89.430044027083298</v>
      </c>
      <c r="L54" s="25">
        <v>92.193338605763898</v>
      </c>
    </row>
    <row r="55" spans="1:12" ht="20.25" hidden="1" customHeight="1">
      <c r="A55" s="793"/>
      <c r="B55" s="26" t="s">
        <v>98</v>
      </c>
      <c r="C55" s="22">
        <v>4</v>
      </c>
      <c r="D55" s="22">
        <v>126</v>
      </c>
      <c r="E55" s="22">
        <v>31</v>
      </c>
      <c r="F55" s="22">
        <v>5</v>
      </c>
      <c r="G55" s="16">
        <f t="shared" si="1"/>
        <v>91.47651002996156</v>
      </c>
      <c r="H55" s="28">
        <v>87.212097327270314</v>
      </c>
      <c r="I55" s="28">
        <v>87.022250999937327</v>
      </c>
      <c r="J55" s="28">
        <v>86.823241803188381</v>
      </c>
      <c r="K55" s="28">
        <v>88.34304724903842</v>
      </c>
      <c r="L55" s="25">
        <v>95.740922732652791</v>
      </c>
    </row>
    <row r="56" spans="1:12" ht="20.25" hidden="1" customHeight="1">
      <c r="A56" s="793"/>
      <c r="B56" s="26" t="s">
        <v>99</v>
      </c>
      <c r="C56" s="22">
        <v>4</v>
      </c>
      <c r="D56" s="22">
        <v>167</v>
      </c>
      <c r="E56" s="22">
        <v>55</v>
      </c>
      <c r="F56" s="22">
        <v>14</v>
      </c>
      <c r="G56" s="16">
        <f t="shared" si="1"/>
        <v>90.033632215711123</v>
      </c>
      <c r="H56" s="28">
        <v>87.751578113186142</v>
      </c>
      <c r="I56" s="28">
        <v>87.720697276162042</v>
      </c>
      <c r="J56" s="28">
        <v>89.641794848532598</v>
      </c>
      <c r="K56" s="28">
        <v>84.936624045619979</v>
      </c>
      <c r="L56" s="25">
        <v>92.315686318236089</v>
      </c>
    </row>
    <row r="57" spans="1:12" ht="20.25" hidden="1" customHeight="1">
      <c r="A57" s="793"/>
      <c r="B57" s="21" t="s">
        <v>100</v>
      </c>
      <c r="C57" s="22">
        <v>5</v>
      </c>
      <c r="D57" s="22">
        <v>174</v>
      </c>
      <c r="E57" s="22">
        <v>113</v>
      </c>
      <c r="F57" s="22">
        <v>17</v>
      </c>
      <c r="G57" s="16">
        <f t="shared" si="1"/>
        <v>89.708986231335473</v>
      </c>
      <c r="H57" s="17">
        <v>84.99891667701911</v>
      </c>
      <c r="I57" s="17">
        <v>84.997361960020001</v>
      </c>
      <c r="J57" s="17">
        <v>85.811914794999979</v>
      </c>
      <c r="K57" s="17">
        <v>83.598533993004509</v>
      </c>
      <c r="L57" s="20">
        <v>94.419055785651821</v>
      </c>
    </row>
    <row r="58" spans="1:12" ht="20.25" hidden="1" customHeight="1">
      <c r="A58" s="793"/>
      <c r="B58" s="21" t="s">
        <v>101</v>
      </c>
      <c r="C58" s="22">
        <v>5</v>
      </c>
      <c r="D58" s="22">
        <v>53</v>
      </c>
      <c r="E58" s="22">
        <v>52</v>
      </c>
      <c r="F58" s="22">
        <v>2</v>
      </c>
      <c r="G58" s="16">
        <f t="shared" si="1"/>
        <v>93.474462337747696</v>
      </c>
      <c r="H58" s="28">
        <v>91.57855168518293</v>
      </c>
      <c r="I58" s="28">
        <v>91.048418845166665</v>
      </c>
      <c r="J58" s="16">
        <v>91.88439755442306</v>
      </c>
      <c r="K58" s="28" t="s">
        <v>32</v>
      </c>
      <c r="L58" s="25">
        <v>95.370372990312475</v>
      </c>
    </row>
    <row r="59" spans="1:12" ht="20.25" hidden="1" customHeight="1">
      <c r="A59" s="793"/>
      <c r="B59" s="21" t="s">
        <v>102</v>
      </c>
      <c r="C59" s="22">
        <v>5</v>
      </c>
      <c r="D59" s="22">
        <v>191</v>
      </c>
      <c r="E59" s="22">
        <v>118</v>
      </c>
      <c r="F59" s="22">
        <v>28</v>
      </c>
      <c r="G59" s="16">
        <f t="shared" si="1"/>
        <v>89.133835494858545</v>
      </c>
      <c r="H59" s="17">
        <v>86.48670044533317</v>
      </c>
      <c r="I59" s="17">
        <v>86.986419401947572</v>
      </c>
      <c r="J59" s="17">
        <v>88.216764386561636</v>
      </c>
      <c r="K59" s="17">
        <v>79.468226661093738</v>
      </c>
      <c r="L59" s="20">
        <v>91.780970544383919</v>
      </c>
    </row>
    <row r="60" spans="1:12" ht="20.25" hidden="1" customHeight="1">
      <c r="A60" s="793"/>
      <c r="B60" s="26" t="s">
        <v>103</v>
      </c>
      <c r="C60" s="26">
        <v>5</v>
      </c>
      <c r="D60" s="26">
        <v>151</v>
      </c>
      <c r="E60" s="26">
        <v>106</v>
      </c>
      <c r="F60" s="26">
        <v>10</v>
      </c>
      <c r="G60" s="16">
        <f t="shared" si="1"/>
        <v>90.76874556118608</v>
      </c>
      <c r="H60" s="28">
        <v>87.975397735113248</v>
      </c>
      <c r="I60" s="28">
        <v>86.33866767583207</v>
      </c>
      <c r="J60" s="28">
        <v>89.729371933979579</v>
      </c>
      <c r="K60" s="28">
        <v>89.006535918913016</v>
      </c>
      <c r="L60" s="25">
        <v>93.562093387258912</v>
      </c>
    </row>
    <row r="61" spans="1:12" ht="20.25" hidden="1" customHeight="1">
      <c r="A61" s="793"/>
      <c r="B61" s="26" t="s">
        <v>104</v>
      </c>
      <c r="C61" s="26">
        <v>5</v>
      </c>
      <c r="D61" s="26">
        <v>144</v>
      </c>
      <c r="E61" s="26">
        <v>101</v>
      </c>
      <c r="F61" s="26">
        <v>6</v>
      </c>
      <c r="G61" s="16">
        <f t="shared" si="1"/>
        <v>90.890364802648691</v>
      </c>
      <c r="H61" s="28">
        <v>87.968653671842006</v>
      </c>
      <c r="I61" s="28">
        <v>88.513868943230918</v>
      </c>
      <c r="J61" s="28">
        <v>89.145220868112233</v>
      </c>
      <c r="K61" s="28">
        <v>84.379494703055514</v>
      </c>
      <c r="L61" s="25">
        <v>93.812075933455361</v>
      </c>
    </row>
    <row r="62" spans="1:12" ht="20.25" hidden="1" customHeight="1">
      <c r="A62" s="793"/>
      <c r="B62" s="21" t="s">
        <v>105</v>
      </c>
      <c r="C62" s="22">
        <v>5</v>
      </c>
      <c r="D62" s="22">
        <v>183</v>
      </c>
      <c r="E62" s="22">
        <v>116</v>
      </c>
      <c r="F62" s="22">
        <v>23</v>
      </c>
      <c r="G62" s="16">
        <f t="shared" si="1"/>
        <v>89.360903917603565</v>
      </c>
      <c r="H62" s="17">
        <v>86.515839047912479</v>
      </c>
      <c r="I62" s="17">
        <v>85.382674822993991</v>
      </c>
      <c r="J62" s="16">
        <v>88.833062602954541</v>
      </c>
      <c r="K62" s="17">
        <v>84.868824894431796</v>
      </c>
      <c r="L62" s="20">
        <v>92.205968787294637</v>
      </c>
    </row>
    <row r="63" spans="1:12" ht="20.25" hidden="1" customHeight="1">
      <c r="A63" s="793"/>
      <c r="B63" s="21" t="s">
        <v>106</v>
      </c>
      <c r="C63" s="22">
        <v>5</v>
      </c>
      <c r="D63" s="22">
        <v>146</v>
      </c>
      <c r="E63" s="22">
        <v>103</v>
      </c>
      <c r="F63" s="22">
        <v>7</v>
      </c>
      <c r="G63" s="16">
        <f t="shared" si="1"/>
        <v>90.843894957326995</v>
      </c>
      <c r="H63" s="17">
        <v>86.365778571966501</v>
      </c>
      <c r="I63" s="17">
        <v>84.655486889219787</v>
      </c>
      <c r="J63" s="17">
        <v>89.371297855872086</v>
      </c>
      <c r="K63" s="17">
        <v>84.334627518157859</v>
      </c>
      <c r="L63" s="20">
        <v>95.322011342687489</v>
      </c>
    </row>
    <row r="64" spans="1:12" ht="20.25" hidden="1" customHeight="1">
      <c r="A64" s="793"/>
      <c r="B64" s="26" t="s">
        <v>107</v>
      </c>
      <c r="C64" s="22">
        <v>5</v>
      </c>
      <c r="D64" s="22">
        <v>11</v>
      </c>
      <c r="E64" s="22">
        <v>11</v>
      </c>
      <c r="F64" s="22">
        <v>1</v>
      </c>
      <c r="G64" s="16">
        <f t="shared" si="1"/>
        <v>94.779689950900774</v>
      </c>
      <c r="H64" s="28">
        <v>92.920972141230138</v>
      </c>
      <c r="I64" s="28">
        <v>92.187708860429694</v>
      </c>
      <c r="J64" s="28">
        <v>94.177205635899952</v>
      </c>
      <c r="K64" s="28">
        <v>91.597403411041668</v>
      </c>
      <c r="L64" s="25">
        <v>96.638407760571411</v>
      </c>
    </row>
    <row r="65" spans="1:12" ht="20.25" hidden="1" customHeight="1">
      <c r="A65" s="793"/>
      <c r="B65" s="26" t="s">
        <v>108</v>
      </c>
      <c r="C65" s="22">
        <v>5</v>
      </c>
      <c r="D65" s="22">
        <v>188</v>
      </c>
      <c r="E65" s="22">
        <v>117</v>
      </c>
      <c r="F65" s="22">
        <v>26</v>
      </c>
      <c r="G65" s="16">
        <f t="shared" si="1"/>
        <v>89.319073294200223</v>
      </c>
      <c r="H65" s="28">
        <v>88.491825350266538</v>
      </c>
      <c r="I65" s="28">
        <v>88.592452975715759</v>
      </c>
      <c r="J65" s="28">
        <v>88.357705426249964</v>
      </c>
      <c r="K65" s="28">
        <v>88.526855099338079</v>
      </c>
      <c r="L65" s="25">
        <v>90.146321238133922</v>
      </c>
    </row>
    <row r="66" spans="1:12" ht="20.25" hidden="1" customHeight="1">
      <c r="A66" s="793"/>
      <c r="B66" s="26" t="s">
        <v>109</v>
      </c>
      <c r="C66" s="26">
        <v>5</v>
      </c>
      <c r="D66" s="26">
        <v>160</v>
      </c>
      <c r="E66" s="26">
        <v>109</v>
      </c>
      <c r="F66" s="26">
        <v>12</v>
      </c>
      <c r="G66" s="16">
        <f t="shared" si="1"/>
        <v>90.410391582256651</v>
      </c>
      <c r="H66" s="28">
        <v>88.728650739031181</v>
      </c>
      <c r="I66" s="28">
        <v>88.914622034638626</v>
      </c>
      <c r="J66" s="28">
        <v>87.203974680531886</v>
      </c>
      <c r="K66" s="28">
        <v>91.697934200999981</v>
      </c>
      <c r="L66" s="25">
        <v>92.09213242548212</v>
      </c>
    </row>
    <row r="67" spans="1:12" ht="20.25" hidden="1" customHeight="1">
      <c r="A67" s="793"/>
      <c r="B67" s="26" t="s">
        <v>110</v>
      </c>
      <c r="C67" s="22">
        <v>5</v>
      </c>
      <c r="D67" s="22">
        <v>82</v>
      </c>
      <c r="E67" s="22">
        <v>74</v>
      </c>
      <c r="F67" s="22">
        <v>3</v>
      </c>
      <c r="G67" s="16">
        <f t="shared" si="1"/>
        <v>92.654576954472333</v>
      </c>
      <c r="H67" s="28">
        <v>89.702862329516094</v>
      </c>
      <c r="I67" s="28">
        <v>91.746222881598371</v>
      </c>
      <c r="J67" s="28">
        <v>89.015882853222209</v>
      </c>
      <c r="K67" s="28">
        <v>84.495589149305545</v>
      </c>
      <c r="L67" s="25">
        <v>95.606291579428557</v>
      </c>
    </row>
    <row r="68" spans="1:12" ht="20.25" hidden="1" customHeight="1">
      <c r="A68" s="793"/>
      <c r="B68" s="26" t="s">
        <v>111</v>
      </c>
      <c r="C68" s="22">
        <v>5</v>
      </c>
      <c r="D68" s="22">
        <v>181</v>
      </c>
      <c r="E68" s="22">
        <v>115</v>
      </c>
      <c r="F68" s="22">
        <v>21</v>
      </c>
      <c r="G68" s="16">
        <f t="shared" si="1"/>
        <v>89.454858711232319</v>
      </c>
      <c r="H68" s="28">
        <v>86.799836241562843</v>
      </c>
      <c r="I68" s="28">
        <v>89.436003401309307</v>
      </c>
      <c r="J68" s="28">
        <v>82.052200678884873</v>
      </c>
      <c r="K68" s="28">
        <v>89.994740224404737</v>
      </c>
      <c r="L68" s="25">
        <v>92.109881180901795</v>
      </c>
    </row>
    <row r="69" spans="1:12" ht="20.25" hidden="1" customHeight="1">
      <c r="A69" s="793"/>
      <c r="B69" s="21" t="s">
        <v>112</v>
      </c>
      <c r="C69" s="22">
        <v>5</v>
      </c>
      <c r="D69" s="22">
        <v>114</v>
      </c>
      <c r="E69" s="22">
        <v>93</v>
      </c>
      <c r="F69" s="22">
        <v>4</v>
      </c>
      <c r="G69" s="16">
        <f t="shared" si="1"/>
        <v>91.812128263265862</v>
      </c>
      <c r="H69" s="17">
        <v>89.598437657737094</v>
      </c>
      <c r="I69" s="17">
        <v>90.216956029352772</v>
      </c>
      <c r="J69" s="16">
        <v>90.804044206765099</v>
      </c>
      <c r="K69" s="17">
        <v>85.892304019673901</v>
      </c>
      <c r="L69" s="20">
        <v>94.02581886879463</v>
      </c>
    </row>
    <row r="70" spans="1:12" ht="20.25" hidden="1" customHeight="1">
      <c r="A70" s="793"/>
      <c r="B70" s="26" t="s">
        <v>113</v>
      </c>
      <c r="C70" s="22">
        <v>5</v>
      </c>
      <c r="D70" s="22">
        <v>155</v>
      </c>
      <c r="E70" s="22">
        <v>107</v>
      </c>
      <c r="F70" s="22">
        <v>11</v>
      </c>
      <c r="G70" s="16">
        <f t="shared" si="1"/>
        <v>90.605580438534247</v>
      </c>
      <c r="H70" s="28">
        <v>88.367587777880956</v>
      </c>
      <c r="I70" s="28">
        <v>89.33321782877357</v>
      </c>
      <c r="J70" s="28">
        <v>86.393484605472949</v>
      </c>
      <c r="K70" s="28">
        <v>89.825149423333329</v>
      </c>
      <c r="L70" s="25">
        <v>92.843573099187523</v>
      </c>
    </row>
    <row r="71" spans="1:12" ht="20.25" hidden="1" customHeight="1">
      <c r="A71" s="793"/>
      <c r="B71" s="26" t="s">
        <v>114</v>
      </c>
      <c r="C71" s="22">
        <v>5</v>
      </c>
      <c r="D71" s="22">
        <v>165</v>
      </c>
      <c r="E71" s="22">
        <v>111</v>
      </c>
      <c r="F71" s="22">
        <v>13</v>
      </c>
      <c r="G71" s="16">
        <f t="shared" si="1"/>
        <v>90.198635710286993</v>
      </c>
      <c r="H71" s="28">
        <v>86.481189398538248</v>
      </c>
      <c r="I71" s="28">
        <v>83.755918980725966</v>
      </c>
      <c r="J71" s="28">
        <v>87.232527613026292</v>
      </c>
      <c r="K71" s="28">
        <v>91.869913664047587</v>
      </c>
      <c r="L71" s="25">
        <v>93.916082022035724</v>
      </c>
    </row>
    <row r="72" spans="1:12" ht="20.25" hidden="1" customHeight="1" thickBot="1">
      <c r="A72" s="794"/>
      <c r="B72" s="27" t="s">
        <v>115</v>
      </c>
      <c r="C72" s="27">
        <v>5</v>
      </c>
      <c r="D72" s="27">
        <v>149</v>
      </c>
      <c r="E72" s="27">
        <v>104</v>
      </c>
      <c r="F72" s="27">
        <v>9</v>
      </c>
      <c r="G72" s="16">
        <f t="shared" si="1"/>
        <v>90.773168126638609</v>
      </c>
      <c r="H72" s="37">
        <v>88.078578749437924</v>
      </c>
      <c r="I72" s="37">
        <v>87.310260438276401</v>
      </c>
      <c r="J72" s="37">
        <v>87.992792441010536</v>
      </c>
      <c r="K72" s="37">
        <v>90.172900188095227</v>
      </c>
      <c r="L72" s="38">
        <v>93.467757503839294</v>
      </c>
    </row>
    <row r="73" spans="1:12" ht="20.25" hidden="1" customHeight="1" thickBot="1">
      <c r="A73" s="795"/>
      <c r="B73" s="795"/>
      <c r="C73" s="795"/>
      <c r="D73" s="795"/>
      <c r="E73" s="795"/>
      <c r="F73" s="795"/>
      <c r="G73" s="795"/>
      <c r="H73" s="795"/>
      <c r="I73" s="795"/>
      <c r="J73" s="795"/>
      <c r="K73" s="795"/>
      <c r="L73" s="795"/>
    </row>
    <row r="74" spans="1:12" ht="20.25" hidden="1" customHeight="1">
      <c r="A74" s="788" t="s">
        <v>38</v>
      </c>
      <c r="B74" s="778" t="s">
        <v>39</v>
      </c>
      <c r="C74" s="778" t="s">
        <v>40</v>
      </c>
      <c r="D74" s="778" t="s">
        <v>41</v>
      </c>
      <c r="E74" s="778" t="s">
        <v>42</v>
      </c>
      <c r="F74" s="778" t="s">
        <v>43</v>
      </c>
      <c r="G74" s="778" t="s">
        <v>37</v>
      </c>
      <c r="H74" s="781" t="s">
        <v>44</v>
      </c>
      <c r="I74" s="782"/>
      <c r="J74" s="782"/>
      <c r="K74" s="783"/>
      <c r="L74" s="784" t="s">
        <v>45</v>
      </c>
    </row>
    <row r="75" spans="1:12" ht="20.25" hidden="1" customHeight="1">
      <c r="A75" s="789"/>
      <c r="B75" s="779"/>
      <c r="C75" s="779"/>
      <c r="D75" s="779"/>
      <c r="E75" s="779"/>
      <c r="F75" s="779"/>
      <c r="G75" s="780"/>
      <c r="H75" s="12" t="s">
        <v>46</v>
      </c>
      <c r="I75" s="12" t="s">
        <v>47</v>
      </c>
      <c r="J75" s="12" t="s">
        <v>48</v>
      </c>
      <c r="K75" s="12" t="s">
        <v>49</v>
      </c>
      <c r="L75" s="785"/>
    </row>
    <row r="76" spans="1:12" ht="20.25" hidden="1" customHeight="1">
      <c r="A76" s="790"/>
      <c r="B76" s="780"/>
      <c r="C76" s="780"/>
      <c r="D76" s="780"/>
      <c r="E76" s="780"/>
      <c r="F76" s="780"/>
      <c r="G76" s="12" t="s">
        <v>50</v>
      </c>
      <c r="H76" s="12" t="s">
        <v>50</v>
      </c>
      <c r="I76" s="12" t="s">
        <v>50</v>
      </c>
      <c r="J76" s="12" t="s">
        <v>50</v>
      </c>
      <c r="K76" s="12" t="s">
        <v>50</v>
      </c>
      <c r="L76" s="13" t="s">
        <v>50</v>
      </c>
    </row>
    <row r="77" spans="1:12" ht="20.25" hidden="1" customHeight="1">
      <c r="A77" s="14" t="s">
        <v>51</v>
      </c>
      <c r="B77" s="15" t="s">
        <v>52</v>
      </c>
      <c r="C77" s="15" t="s">
        <v>52</v>
      </c>
      <c r="D77" s="15" t="s">
        <v>52</v>
      </c>
      <c r="E77" s="15" t="s">
        <v>52</v>
      </c>
      <c r="F77" s="15" t="s">
        <v>52</v>
      </c>
      <c r="G77" s="16">
        <v>91.630332023755571</v>
      </c>
      <c r="H77" s="28">
        <v>89.444621425202513</v>
      </c>
      <c r="I77" s="28">
        <v>89.953005670053017</v>
      </c>
      <c r="J77" s="28">
        <v>89.44573141898897</v>
      </c>
      <c r="K77" s="28">
        <v>88.032571778245782</v>
      </c>
      <c r="L77" s="25">
        <v>93.916466121186048</v>
      </c>
    </row>
    <row r="78" spans="1:12" ht="20.25" hidden="1" customHeight="1">
      <c r="A78" s="792" t="s">
        <v>116</v>
      </c>
      <c r="B78" s="26" t="s">
        <v>117</v>
      </c>
      <c r="C78" s="26">
        <v>4</v>
      </c>
      <c r="D78" s="26">
        <v>112</v>
      </c>
      <c r="E78" s="26">
        <v>20</v>
      </c>
      <c r="F78" s="26">
        <v>17</v>
      </c>
      <c r="G78" s="16">
        <f>AVERAGE(H78,L78)</f>
        <v>91.837853845424846</v>
      </c>
      <c r="H78" s="28">
        <v>88.020677564259429</v>
      </c>
      <c r="I78" s="28">
        <v>90.021383160114269</v>
      </c>
      <c r="J78" s="28">
        <v>87.280292729419628</v>
      </c>
      <c r="K78" s="28">
        <v>84.289273835902847</v>
      </c>
      <c r="L78" s="25">
        <v>95.655030126590262</v>
      </c>
    </row>
    <row r="79" spans="1:12" ht="20.25" hidden="1" customHeight="1">
      <c r="A79" s="793"/>
      <c r="B79" s="26" t="s">
        <v>118</v>
      </c>
      <c r="C79" s="26">
        <v>4</v>
      </c>
      <c r="D79" s="26">
        <v>96</v>
      </c>
      <c r="E79" s="26">
        <v>11</v>
      </c>
      <c r="F79" s="26">
        <v>14</v>
      </c>
      <c r="G79" s="16">
        <f t="shared" ref="G79:G115" si="2">AVERAGE(H79,L79)</f>
        <v>92.40989591540874</v>
      </c>
      <c r="H79" s="28">
        <v>89.405423760664704</v>
      </c>
      <c r="I79" s="28">
        <v>88.787005418624986</v>
      </c>
      <c r="J79" s="28">
        <v>87.083586076029974</v>
      </c>
      <c r="K79" s="28">
        <v>94.497515426212118</v>
      </c>
      <c r="L79" s="25">
        <v>95.414368070152776</v>
      </c>
    </row>
    <row r="80" spans="1:12" ht="20.25" hidden="1" customHeight="1">
      <c r="A80" s="793"/>
      <c r="B80" s="26" t="s">
        <v>119</v>
      </c>
      <c r="C80" s="26">
        <v>4</v>
      </c>
      <c r="D80" s="26">
        <v>156</v>
      </c>
      <c r="E80" s="26">
        <v>49</v>
      </c>
      <c r="F80" s="26">
        <v>30</v>
      </c>
      <c r="G80" s="16">
        <f t="shared" si="2"/>
        <v>90.60362577353051</v>
      </c>
      <c r="H80" s="28">
        <v>88.462020285953415</v>
      </c>
      <c r="I80" s="28">
        <v>89.9402804869612</v>
      </c>
      <c r="J80" s="28">
        <v>88.117810843874977</v>
      </c>
      <c r="K80" s="28">
        <v>85.252063354756061</v>
      </c>
      <c r="L80" s="25">
        <v>92.745231261107605</v>
      </c>
    </row>
    <row r="81" spans="1:12" ht="20.25" hidden="1" customHeight="1">
      <c r="A81" s="793"/>
      <c r="B81" s="26" t="s">
        <v>120</v>
      </c>
      <c r="C81" s="26">
        <v>4</v>
      </c>
      <c r="D81" s="26">
        <v>138</v>
      </c>
      <c r="E81" s="26">
        <v>39</v>
      </c>
      <c r="F81" s="26">
        <v>24</v>
      </c>
      <c r="G81" s="16">
        <f t="shared" si="2"/>
        <v>91.08728119115807</v>
      </c>
      <c r="H81" s="28">
        <v>88.961937975135598</v>
      </c>
      <c r="I81" s="28">
        <v>89.786952055796149</v>
      </c>
      <c r="J81" s="28">
        <v>87.39924392775859</v>
      </c>
      <c r="K81" s="28">
        <v>89.406508643928532</v>
      </c>
      <c r="L81" s="25">
        <v>93.212624407180542</v>
      </c>
    </row>
    <row r="82" spans="1:12" ht="20.25" hidden="1" customHeight="1">
      <c r="A82" s="793"/>
      <c r="B82" s="26" t="s">
        <v>121</v>
      </c>
      <c r="C82" s="26">
        <v>4</v>
      </c>
      <c r="D82" s="26">
        <v>161</v>
      </c>
      <c r="E82" s="26">
        <v>52</v>
      </c>
      <c r="F82" s="26">
        <v>31</v>
      </c>
      <c r="G82" s="16">
        <f t="shared" si="2"/>
        <v>90.384233236133241</v>
      </c>
      <c r="H82" s="28">
        <v>86.780862390450565</v>
      </c>
      <c r="I82" s="28">
        <v>86.383284924067638</v>
      </c>
      <c r="J82" s="28">
        <v>86.284458468373572</v>
      </c>
      <c r="K82" s="28">
        <v>88.602180345378784</v>
      </c>
      <c r="L82" s="25">
        <v>93.987604081815931</v>
      </c>
    </row>
    <row r="83" spans="1:12" ht="20.25" hidden="1" customHeight="1">
      <c r="A83" s="793"/>
      <c r="B83" s="26" t="s">
        <v>122</v>
      </c>
      <c r="C83" s="26">
        <v>4</v>
      </c>
      <c r="D83" s="26">
        <v>110</v>
      </c>
      <c r="E83" s="26">
        <v>19</v>
      </c>
      <c r="F83" s="26">
        <v>16</v>
      </c>
      <c r="G83" s="16">
        <f t="shared" si="2"/>
        <v>91.940376493136085</v>
      </c>
      <c r="H83" s="28">
        <v>88.84262436082426</v>
      </c>
      <c r="I83" s="28">
        <v>89.028970650694447</v>
      </c>
      <c r="J83" s="28">
        <v>89.503542827711868</v>
      </c>
      <c r="K83" s="28">
        <v>87.29358670430554</v>
      </c>
      <c r="L83" s="25">
        <v>95.038128625447911</v>
      </c>
    </row>
    <row r="84" spans="1:12" ht="20.25" hidden="1" customHeight="1">
      <c r="A84" s="793"/>
      <c r="B84" s="29" t="s">
        <v>123</v>
      </c>
      <c r="C84" s="26">
        <v>4</v>
      </c>
      <c r="D84" s="26">
        <v>153</v>
      </c>
      <c r="E84" s="26">
        <v>47</v>
      </c>
      <c r="F84" s="26">
        <v>29</v>
      </c>
      <c r="G84" s="16">
        <f t="shared" si="2"/>
        <v>90.719355198067149</v>
      </c>
      <c r="H84" s="28">
        <v>86.575863789533642</v>
      </c>
      <c r="I84" s="28">
        <v>89.051678247876538</v>
      </c>
      <c r="J84" s="28">
        <v>84.988888794023438</v>
      </c>
      <c r="K84" s="28">
        <v>83.295319203372046</v>
      </c>
      <c r="L84" s="25">
        <v>94.862846606600669</v>
      </c>
    </row>
    <row r="85" spans="1:12" ht="20.25" hidden="1" customHeight="1">
      <c r="A85" s="793"/>
      <c r="B85" s="26" t="s">
        <v>124</v>
      </c>
      <c r="C85" s="26">
        <v>4</v>
      </c>
      <c r="D85" s="26">
        <v>143</v>
      </c>
      <c r="E85" s="26">
        <v>43</v>
      </c>
      <c r="F85" s="26">
        <v>26</v>
      </c>
      <c r="G85" s="16">
        <f t="shared" si="2"/>
        <v>90.890404925631458</v>
      </c>
      <c r="H85" s="28">
        <v>88.046221112596243</v>
      </c>
      <c r="I85" s="28">
        <v>88.156013565579769</v>
      </c>
      <c r="J85" s="28">
        <v>88.109720218732974</v>
      </c>
      <c r="K85" s="28">
        <v>87.686563436142833</v>
      </c>
      <c r="L85" s="25">
        <v>93.734588738666659</v>
      </c>
    </row>
    <row r="86" spans="1:12" ht="20.25" hidden="1" customHeight="1">
      <c r="A86" s="793"/>
      <c r="B86" s="26" t="s">
        <v>125</v>
      </c>
      <c r="C86" s="26">
        <v>4</v>
      </c>
      <c r="D86" s="26">
        <v>113</v>
      </c>
      <c r="E86" s="26">
        <v>21</v>
      </c>
      <c r="F86" s="26">
        <v>18</v>
      </c>
      <c r="G86" s="16">
        <f t="shared" si="2"/>
        <v>91.82814854005494</v>
      </c>
      <c r="H86" s="28">
        <v>89.553967681113349</v>
      </c>
      <c r="I86" s="28">
        <v>89.727428087146876</v>
      </c>
      <c r="J86" s="28">
        <v>89.456506663399978</v>
      </c>
      <c r="K86" s="28">
        <v>89.244331182954511</v>
      </c>
      <c r="L86" s="25">
        <v>94.102329398996545</v>
      </c>
    </row>
    <row r="87" spans="1:12" ht="20.25" hidden="1" customHeight="1">
      <c r="A87" s="793"/>
      <c r="B87" s="26" t="s">
        <v>126</v>
      </c>
      <c r="C87" s="26">
        <v>4</v>
      </c>
      <c r="D87" s="26">
        <v>172</v>
      </c>
      <c r="E87" s="26">
        <v>60</v>
      </c>
      <c r="F87" s="26">
        <v>37</v>
      </c>
      <c r="G87" s="16">
        <f t="shared" si="2"/>
        <v>89.808272060571582</v>
      </c>
      <c r="H87" s="28">
        <v>87.233943377000813</v>
      </c>
      <c r="I87" s="28">
        <v>87.487768337863116</v>
      </c>
      <c r="J87" s="28">
        <v>87.285646271024547</v>
      </c>
      <c r="K87" s="28">
        <v>86.514188437437497</v>
      </c>
      <c r="L87" s="25">
        <v>92.382600744142351</v>
      </c>
    </row>
    <row r="88" spans="1:12" ht="20.25" hidden="1" customHeight="1">
      <c r="A88" s="793"/>
      <c r="B88" s="26" t="s">
        <v>127</v>
      </c>
      <c r="C88" s="26">
        <v>4</v>
      </c>
      <c r="D88" s="26">
        <v>189</v>
      </c>
      <c r="E88" s="26">
        <v>72</v>
      </c>
      <c r="F88" s="26">
        <v>38</v>
      </c>
      <c r="G88" s="16">
        <f t="shared" si="2"/>
        <v>89.268178474713181</v>
      </c>
      <c r="H88" s="28">
        <v>87.781438647009736</v>
      </c>
      <c r="I88" s="28">
        <v>87.936234505273561</v>
      </c>
      <c r="J88" s="28">
        <v>87.777590311150746</v>
      </c>
      <c r="K88" s="28">
        <v>87.3445220033108</v>
      </c>
      <c r="L88" s="25">
        <v>90.754918302416641</v>
      </c>
    </row>
    <row r="89" spans="1:12" ht="20.25" hidden="1" customHeight="1">
      <c r="A89" s="793"/>
      <c r="B89" s="26" t="s">
        <v>128</v>
      </c>
      <c r="C89" s="26">
        <v>4</v>
      </c>
      <c r="D89" s="26">
        <v>141</v>
      </c>
      <c r="E89" s="26">
        <v>41</v>
      </c>
      <c r="F89" s="26">
        <v>25</v>
      </c>
      <c r="G89" s="16">
        <f t="shared" si="2"/>
        <v>90.988101502921623</v>
      </c>
      <c r="H89" s="28">
        <v>89.357904962555054</v>
      </c>
      <c r="I89" s="28">
        <v>91.757599446019611</v>
      </c>
      <c r="J89" s="28">
        <v>88.599267790923065</v>
      </c>
      <c r="K89" s="28">
        <v>84.704156839761865</v>
      </c>
      <c r="L89" s="25">
        <v>92.618298043288192</v>
      </c>
    </row>
    <row r="90" spans="1:12" ht="20.25" hidden="1" customHeight="1">
      <c r="A90" s="793"/>
      <c r="B90" s="26" t="s">
        <v>129</v>
      </c>
      <c r="C90" s="26">
        <v>4</v>
      </c>
      <c r="D90" s="26">
        <v>169</v>
      </c>
      <c r="E90" s="26">
        <v>57</v>
      </c>
      <c r="F90" s="26">
        <v>36</v>
      </c>
      <c r="G90" s="16">
        <f t="shared" si="2"/>
        <v>89.919703475818366</v>
      </c>
      <c r="H90" s="28">
        <v>89.544476636077704</v>
      </c>
      <c r="I90" s="28">
        <v>90.993386685497256</v>
      </c>
      <c r="J90" s="28">
        <v>87.103697446367903</v>
      </c>
      <c r="K90" s="28">
        <v>89.421400776953092</v>
      </c>
      <c r="L90" s="25">
        <v>90.294930315559029</v>
      </c>
    </row>
    <row r="91" spans="1:12" ht="20.25" hidden="1" customHeight="1">
      <c r="A91" s="793"/>
      <c r="B91" s="26" t="s">
        <v>130</v>
      </c>
      <c r="C91" s="26">
        <v>4</v>
      </c>
      <c r="D91" s="26">
        <v>76</v>
      </c>
      <c r="E91" s="26">
        <v>6</v>
      </c>
      <c r="F91" s="26">
        <v>11</v>
      </c>
      <c r="G91" s="16">
        <f t="shared" si="2"/>
        <v>92.867829964548591</v>
      </c>
      <c r="H91" s="28">
        <v>91.07481748019093</v>
      </c>
      <c r="I91" s="28">
        <v>90.724061931780568</v>
      </c>
      <c r="J91" s="28">
        <v>92.673170576691135</v>
      </c>
      <c r="K91" s="28">
        <v>89.234634446736081</v>
      </c>
      <c r="L91" s="25">
        <v>94.660842448906251</v>
      </c>
    </row>
    <row r="92" spans="1:12" ht="20.25" hidden="1" customHeight="1">
      <c r="A92" s="793"/>
      <c r="B92" s="26" t="s">
        <v>131</v>
      </c>
      <c r="C92" s="26">
        <v>4</v>
      </c>
      <c r="D92" s="26">
        <v>98</v>
      </c>
      <c r="E92" s="26">
        <v>12</v>
      </c>
      <c r="F92" s="26">
        <v>15</v>
      </c>
      <c r="G92" s="16">
        <f t="shared" si="2"/>
        <v>92.30697360183234</v>
      </c>
      <c r="H92" s="28">
        <v>90.168185633147331</v>
      </c>
      <c r="I92" s="28">
        <v>90.329732377538747</v>
      </c>
      <c r="J92" s="28">
        <v>88.376727840849028</v>
      </c>
      <c r="K92" s="28">
        <v>93.2599428235185</v>
      </c>
      <c r="L92" s="25">
        <v>94.445761570517362</v>
      </c>
    </row>
    <row r="93" spans="1:12" ht="20.25" hidden="1" customHeight="1">
      <c r="A93" s="793"/>
      <c r="B93" s="29" t="s">
        <v>132</v>
      </c>
      <c r="C93" s="26">
        <v>4</v>
      </c>
      <c r="D93" s="26">
        <v>164</v>
      </c>
      <c r="E93" s="26">
        <v>54</v>
      </c>
      <c r="F93" s="26">
        <v>33</v>
      </c>
      <c r="G93" s="16">
        <f t="shared" si="2"/>
        <v>90.351753891931537</v>
      </c>
      <c r="H93" s="28">
        <v>88.261125433699902</v>
      </c>
      <c r="I93" s="28">
        <v>90.053676289327768</v>
      </c>
      <c r="J93" s="28">
        <v>87.994137545514661</v>
      </c>
      <c r="K93" s="28">
        <v>83.502757839539427</v>
      </c>
      <c r="L93" s="25">
        <v>92.442382350163157</v>
      </c>
    </row>
    <row r="94" spans="1:12" ht="20.25" hidden="1" customHeight="1">
      <c r="A94" s="793"/>
      <c r="B94" s="26" t="s">
        <v>133</v>
      </c>
      <c r="C94" s="26">
        <v>4</v>
      </c>
      <c r="D94" s="26">
        <v>134</v>
      </c>
      <c r="E94" s="26">
        <v>35</v>
      </c>
      <c r="F94" s="26">
        <v>23</v>
      </c>
      <c r="G94" s="16">
        <f t="shared" si="2"/>
        <v>91.208154081986279</v>
      </c>
      <c r="H94" s="28">
        <v>89.060118616160068</v>
      </c>
      <c r="I94" s="28">
        <v>88.437642118053574</v>
      </c>
      <c r="J94" s="28">
        <v>88.725183405300626</v>
      </c>
      <c r="K94" s="28">
        <v>91.054849922166639</v>
      </c>
      <c r="L94" s="25">
        <v>93.356189547812491</v>
      </c>
    </row>
    <row r="95" spans="1:12" ht="20.25" hidden="1" customHeight="1">
      <c r="A95" s="793"/>
      <c r="B95" s="26" t="s">
        <v>134</v>
      </c>
      <c r="C95" s="26">
        <v>4</v>
      </c>
      <c r="D95" s="26">
        <v>168</v>
      </c>
      <c r="E95" s="26">
        <v>56</v>
      </c>
      <c r="F95" s="26">
        <v>35</v>
      </c>
      <c r="G95" s="16">
        <f t="shared" si="2"/>
        <v>89.921969949404001</v>
      </c>
      <c r="H95" s="28">
        <v>88.385845738026745</v>
      </c>
      <c r="I95" s="28">
        <v>90.210461482424748</v>
      </c>
      <c r="J95" s="28">
        <v>88.045057345964892</v>
      </c>
      <c r="K95" s="28">
        <v>84.571217436418891</v>
      </c>
      <c r="L95" s="25">
        <v>91.458094160781272</v>
      </c>
    </row>
    <row r="96" spans="1:12" ht="20.25" hidden="1" customHeight="1">
      <c r="A96" s="793"/>
      <c r="B96" s="26" t="s">
        <v>135</v>
      </c>
      <c r="C96" s="26">
        <v>5</v>
      </c>
      <c r="D96" s="26">
        <v>166</v>
      </c>
      <c r="E96" s="26">
        <v>112</v>
      </c>
      <c r="F96" s="26">
        <v>34</v>
      </c>
      <c r="G96" s="16">
        <f t="shared" si="2"/>
        <v>90.074998790682343</v>
      </c>
      <c r="H96" s="28">
        <v>87.845024765525423</v>
      </c>
      <c r="I96" s="28">
        <v>90.503526106372107</v>
      </c>
      <c r="J96" s="28">
        <v>85.402838511341471</v>
      </c>
      <c r="K96" s="28">
        <v>85.260068708437487</v>
      </c>
      <c r="L96" s="25">
        <v>92.304972815839278</v>
      </c>
    </row>
    <row r="97" spans="1:12" ht="20.25" hidden="1" customHeight="1">
      <c r="A97" s="793"/>
      <c r="B97" s="26" t="s">
        <v>136</v>
      </c>
      <c r="C97" s="26">
        <v>5</v>
      </c>
      <c r="D97" s="26">
        <v>130</v>
      </c>
      <c r="E97" s="26">
        <v>97</v>
      </c>
      <c r="F97" s="26">
        <v>21</v>
      </c>
      <c r="G97" s="16">
        <f t="shared" si="2"/>
        <v>91.309266298613124</v>
      </c>
      <c r="H97" s="28">
        <v>86.486421869168197</v>
      </c>
      <c r="I97" s="28">
        <v>87.809326226715427</v>
      </c>
      <c r="J97" s="28">
        <v>88.91503823909089</v>
      </c>
      <c r="K97" s="28">
        <v>78.321928235454521</v>
      </c>
      <c r="L97" s="25">
        <v>96.132110728058052</v>
      </c>
    </row>
    <row r="98" spans="1:12" ht="20.25" hidden="1" customHeight="1">
      <c r="A98" s="793"/>
      <c r="B98" s="26" t="s">
        <v>137</v>
      </c>
      <c r="C98" s="26">
        <v>5</v>
      </c>
      <c r="D98" s="26">
        <v>145</v>
      </c>
      <c r="E98" s="26">
        <v>102</v>
      </c>
      <c r="F98" s="26">
        <v>27</v>
      </c>
      <c r="G98" s="16">
        <f t="shared" si="2"/>
        <v>90.87316722192989</v>
      </c>
      <c r="H98" s="28">
        <v>88.236217977855304</v>
      </c>
      <c r="I98" s="28">
        <v>87.432740111425787</v>
      </c>
      <c r="J98" s="28">
        <v>90.267965327206497</v>
      </c>
      <c r="K98" s="28">
        <v>86.408487777043462</v>
      </c>
      <c r="L98" s="25">
        <v>93.510116466004476</v>
      </c>
    </row>
    <row r="99" spans="1:12" ht="20.25" hidden="1" customHeight="1">
      <c r="A99" s="793"/>
      <c r="B99" s="26" t="s">
        <v>138</v>
      </c>
      <c r="C99" s="26">
        <v>5</v>
      </c>
      <c r="D99" s="26">
        <v>128</v>
      </c>
      <c r="E99" s="26">
        <v>96</v>
      </c>
      <c r="F99" s="26">
        <v>20</v>
      </c>
      <c r="G99" s="16">
        <f t="shared" si="2"/>
        <v>91.398860109344895</v>
      </c>
      <c r="H99" s="28">
        <v>89.345350398551474</v>
      </c>
      <c r="I99" s="28">
        <v>90.213995846340254</v>
      </c>
      <c r="J99" s="28">
        <v>91.453259096710511</v>
      </c>
      <c r="K99" s="28">
        <v>83.09055935333329</v>
      </c>
      <c r="L99" s="25">
        <v>93.45236982013833</v>
      </c>
    </row>
    <row r="100" spans="1:12" ht="20.25" hidden="1" customHeight="1">
      <c r="A100" s="793"/>
      <c r="B100" s="26" t="s">
        <v>139</v>
      </c>
      <c r="C100" s="26">
        <v>5</v>
      </c>
      <c r="D100" s="26">
        <v>162</v>
      </c>
      <c r="E100" s="26">
        <v>110</v>
      </c>
      <c r="F100" s="26">
        <v>32</v>
      </c>
      <c r="G100" s="16">
        <f t="shared" si="2"/>
        <v>90.379718075274781</v>
      </c>
      <c r="H100" s="28">
        <v>87.420360235540628</v>
      </c>
      <c r="I100" s="28">
        <v>88.29756833104166</v>
      </c>
      <c r="J100" s="28">
        <v>84.556048968756087</v>
      </c>
      <c r="K100" s="28">
        <v>90.366009154090875</v>
      </c>
      <c r="L100" s="25">
        <v>93.339075915008934</v>
      </c>
    </row>
    <row r="101" spans="1:12" ht="20.25" hidden="1" customHeight="1">
      <c r="A101" s="793"/>
      <c r="B101" s="26" t="s">
        <v>140</v>
      </c>
      <c r="C101" s="26">
        <v>5</v>
      </c>
      <c r="D101" s="26">
        <v>132</v>
      </c>
      <c r="E101" s="26">
        <v>98</v>
      </c>
      <c r="F101" s="26">
        <v>22</v>
      </c>
      <c r="G101" s="16">
        <f t="shared" si="2"/>
        <v>91.275476393338749</v>
      </c>
      <c r="H101" s="28">
        <v>89.48279420307037</v>
      </c>
      <c r="I101" s="28">
        <v>88.799496744994315</v>
      </c>
      <c r="J101" s="28">
        <v>88.668730115787028</v>
      </c>
      <c r="K101" s="28">
        <v>93.563625865624985</v>
      </c>
      <c r="L101" s="25">
        <v>93.068158583607115</v>
      </c>
    </row>
    <row r="102" spans="1:12" ht="20.25" hidden="1" customHeight="1">
      <c r="A102" s="793"/>
      <c r="B102" s="26" t="s">
        <v>141</v>
      </c>
      <c r="C102" s="26">
        <v>5</v>
      </c>
      <c r="D102" s="26">
        <v>36</v>
      </c>
      <c r="E102" s="26">
        <v>36</v>
      </c>
      <c r="F102" s="26">
        <v>4</v>
      </c>
      <c r="G102" s="16">
        <f t="shared" si="2"/>
        <v>93.910245442168957</v>
      </c>
      <c r="H102" s="28">
        <v>94.855273161668251</v>
      </c>
      <c r="I102" s="28">
        <v>94.895248035434506</v>
      </c>
      <c r="J102" s="28">
        <v>94.124931014402136</v>
      </c>
      <c r="K102" s="28">
        <v>96.276963893295402</v>
      </c>
      <c r="L102" s="25">
        <v>92.965217722669649</v>
      </c>
    </row>
    <row r="103" spans="1:12" ht="20.25" hidden="1" customHeight="1">
      <c r="A103" s="793"/>
      <c r="B103" s="26" t="s">
        <v>142</v>
      </c>
      <c r="C103" s="26">
        <v>5</v>
      </c>
      <c r="D103" s="26">
        <v>57</v>
      </c>
      <c r="E103" s="26">
        <v>55</v>
      </c>
      <c r="F103" s="26">
        <v>7</v>
      </c>
      <c r="G103" s="16">
        <f t="shared" si="2"/>
        <v>93.385519061868081</v>
      </c>
      <c r="H103" s="28">
        <v>92.960453883566501</v>
      </c>
      <c r="I103" s="28">
        <v>91.226581131334171</v>
      </c>
      <c r="J103" s="28">
        <v>93.434471810535698</v>
      </c>
      <c r="K103" s="28">
        <v>98.54328078718747</v>
      </c>
      <c r="L103" s="25">
        <v>93.810584240169646</v>
      </c>
    </row>
    <row r="104" spans="1:12" ht="20.25" hidden="1" customHeight="1">
      <c r="A104" s="793"/>
      <c r="B104" s="26" t="s">
        <v>143</v>
      </c>
      <c r="C104" s="26">
        <v>5</v>
      </c>
      <c r="D104" s="26">
        <v>25</v>
      </c>
      <c r="E104" s="26">
        <v>25</v>
      </c>
      <c r="F104" s="26">
        <v>2</v>
      </c>
      <c r="G104" s="16">
        <f t="shared" si="2"/>
        <v>94.245727653318596</v>
      </c>
      <c r="H104" s="28">
        <v>91.028631256766658</v>
      </c>
      <c r="I104" s="28">
        <v>90.714861528938599</v>
      </c>
      <c r="J104" s="28">
        <v>91.528429456195596</v>
      </c>
      <c r="K104" s="28">
        <v>90.728287569264694</v>
      </c>
      <c r="L104" s="25">
        <v>97.462824049870534</v>
      </c>
    </row>
    <row r="105" spans="1:12" ht="20.25" hidden="1" customHeight="1">
      <c r="A105" s="793"/>
      <c r="B105" s="26" t="s">
        <v>144</v>
      </c>
      <c r="C105" s="26">
        <v>5</v>
      </c>
      <c r="D105" s="26">
        <v>27</v>
      </c>
      <c r="E105" s="26">
        <v>27</v>
      </c>
      <c r="F105" s="26">
        <v>3</v>
      </c>
      <c r="G105" s="16">
        <f t="shared" si="2"/>
        <v>94.155693063324577</v>
      </c>
      <c r="H105" s="28">
        <v>92.56117042294828</v>
      </c>
      <c r="I105" s="28">
        <v>92.54755553907232</v>
      </c>
      <c r="J105" s="28">
        <v>94.144455760408121</v>
      </c>
      <c r="K105" s="28">
        <v>89.498231217799997</v>
      </c>
      <c r="L105" s="25">
        <v>95.75021570370086</v>
      </c>
    </row>
    <row r="106" spans="1:12" ht="20.25" hidden="1" customHeight="1">
      <c r="A106" s="793"/>
      <c r="B106" s="26" t="s">
        <v>145</v>
      </c>
      <c r="C106" s="26">
        <v>5</v>
      </c>
      <c r="D106" s="26">
        <v>64</v>
      </c>
      <c r="E106" s="26">
        <v>61</v>
      </c>
      <c r="F106" s="26">
        <v>10</v>
      </c>
      <c r="G106" s="16">
        <f t="shared" si="2"/>
        <v>93.21242323915024</v>
      </c>
      <c r="H106" s="28">
        <v>90.16476904439422</v>
      </c>
      <c r="I106" s="28">
        <v>91.324930176784022</v>
      </c>
      <c r="J106" s="28">
        <v>91.434777918989326</v>
      </c>
      <c r="K106" s="28">
        <v>85.147067268173046</v>
      </c>
      <c r="L106" s="25">
        <v>96.260077433906275</v>
      </c>
    </row>
    <row r="107" spans="1:12" ht="20.25" hidden="1" customHeight="1">
      <c r="A107" s="793"/>
      <c r="B107" s="26" t="s">
        <v>146</v>
      </c>
      <c r="C107" s="26">
        <v>5</v>
      </c>
      <c r="D107" s="26">
        <v>63</v>
      </c>
      <c r="E107" s="26">
        <v>60</v>
      </c>
      <c r="F107" s="26">
        <v>9</v>
      </c>
      <c r="G107" s="16">
        <f t="shared" si="2"/>
        <v>93.233838477659617</v>
      </c>
      <c r="H107" s="28">
        <v>91.264428315350457</v>
      </c>
      <c r="I107" s="28">
        <v>91.038930362592581</v>
      </c>
      <c r="J107" s="28">
        <v>92.176055347256067</v>
      </c>
      <c r="K107" s="28">
        <v>89.164443410416652</v>
      </c>
      <c r="L107" s="25">
        <v>95.203248639968777</v>
      </c>
    </row>
    <row r="108" spans="1:12" ht="20.25" hidden="1" customHeight="1">
      <c r="A108" s="793"/>
      <c r="B108" s="26" t="s">
        <v>147</v>
      </c>
      <c r="C108" s="26">
        <v>5</v>
      </c>
      <c r="D108" s="26">
        <v>62</v>
      </c>
      <c r="E108" s="26">
        <v>59</v>
      </c>
      <c r="F108" s="26">
        <v>8</v>
      </c>
      <c r="G108" s="16">
        <f t="shared" si="2"/>
        <v>93.25323915128304</v>
      </c>
      <c r="H108" s="28">
        <v>92.887467964722333</v>
      </c>
      <c r="I108" s="28">
        <v>93.907759378670477</v>
      </c>
      <c r="J108" s="28">
        <v>90.434983412195095</v>
      </c>
      <c r="K108" s="28">
        <v>96.718877004999996</v>
      </c>
      <c r="L108" s="25">
        <v>93.619010337843747</v>
      </c>
    </row>
    <row r="109" spans="1:12" ht="20.25" hidden="1" customHeight="1">
      <c r="A109" s="793"/>
      <c r="B109" s="30" t="s">
        <v>148</v>
      </c>
      <c r="C109" s="30">
        <v>5</v>
      </c>
      <c r="D109" s="30">
        <v>45</v>
      </c>
      <c r="E109" s="30">
        <v>45</v>
      </c>
      <c r="F109" s="30">
        <v>5</v>
      </c>
      <c r="G109" s="16">
        <f t="shared" si="2"/>
        <v>93.668259964447529</v>
      </c>
      <c r="H109" s="50">
        <v>92.456118676729901</v>
      </c>
      <c r="I109" s="50">
        <v>92.428588437261539</v>
      </c>
      <c r="J109" s="50">
        <v>94.17384577214996</v>
      </c>
      <c r="K109" s="50">
        <v>88.633532803749958</v>
      </c>
      <c r="L109" s="51">
        <v>94.880401252165157</v>
      </c>
    </row>
    <row r="110" spans="1:12" ht="20.25" hidden="1" customHeight="1">
      <c r="A110" s="793"/>
      <c r="B110" s="29" t="s">
        <v>149</v>
      </c>
      <c r="C110" s="26">
        <v>5</v>
      </c>
      <c r="D110" s="26">
        <v>150</v>
      </c>
      <c r="E110" s="26">
        <v>105</v>
      </c>
      <c r="F110" s="26">
        <v>28</v>
      </c>
      <c r="G110" s="16">
        <f t="shared" si="2"/>
        <v>90.773164295846954</v>
      </c>
      <c r="H110" s="28">
        <v>89.477854919604596</v>
      </c>
      <c r="I110" s="28">
        <v>88.980067566777777</v>
      </c>
      <c r="J110" s="28">
        <v>89.34606555363635</v>
      </c>
      <c r="K110" s="28">
        <v>91.093478194852153</v>
      </c>
      <c r="L110" s="25">
        <v>92.068473672089297</v>
      </c>
    </row>
    <row r="111" spans="1:12" ht="20.25" hidden="1" customHeight="1">
      <c r="A111" s="793"/>
      <c r="B111" s="29" t="s">
        <v>150</v>
      </c>
      <c r="C111" s="26">
        <v>5</v>
      </c>
      <c r="D111" s="26">
        <v>56</v>
      </c>
      <c r="E111" s="26">
        <v>54</v>
      </c>
      <c r="F111" s="26">
        <v>6</v>
      </c>
      <c r="G111" s="16">
        <f t="shared" si="2"/>
        <v>93.420261765698228</v>
      </c>
      <c r="H111" s="28">
        <v>90.367541066182184</v>
      </c>
      <c r="I111" s="28">
        <v>89.372937134404751</v>
      </c>
      <c r="J111" s="28">
        <v>92.689414291914872</v>
      </c>
      <c r="K111" s="28">
        <v>87.921857176315768</v>
      </c>
      <c r="L111" s="25">
        <v>96.472982465214287</v>
      </c>
    </row>
    <row r="112" spans="1:12" ht="20.25" hidden="1" customHeight="1">
      <c r="A112" s="793"/>
      <c r="B112" s="29" t="s">
        <v>151</v>
      </c>
      <c r="C112" s="26">
        <v>5</v>
      </c>
      <c r="D112" s="26">
        <v>85</v>
      </c>
      <c r="E112" s="26">
        <v>77</v>
      </c>
      <c r="F112" s="26">
        <v>13</v>
      </c>
      <c r="G112" s="16">
        <f t="shared" si="2"/>
        <v>92.581511033545667</v>
      </c>
      <c r="H112" s="28">
        <v>90.346899008448432</v>
      </c>
      <c r="I112" s="28">
        <v>89.275627577407377</v>
      </c>
      <c r="J112" s="28">
        <v>93.090642460923888</v>
      </c>
      <c r="K112" s="28">
        <v>87.700610246693458</v>
      </c>
      <c r="L112" s="25">
        <v>94.816123058642887</v>
      </c>
    </row>
    <row r="113" spans="1:17" ht="20.25" hidden="1" customHeight="1">
      <c r="A113" s="793"/>
      <c r="B113" s="29" t="s">
        <v>152</v>
      </c>
      <c r="C113" s="26">
        <v>5</v>
      </c>
      <c r="D113" s="26">
        <v>7</v>
      </c>
      <c r="E113" s="26">
        <v>7</v>
      </c>
      <c r="F113" s="26">
        <v>1</v>
      </c>
      <c r="G113" s="16">
        <f t="shared" si="2"/>
        <v>95.367749184375327</v>
      </c>
      <c r="H113" s="28">
        <v>93.762769400143483</v>
      </c>
      <c r="I113" s="28">
        <v>93.389974173322173</v>
      </c>
      <c r="J113" s="28">
        <v>94.52983343648809</v>
      </c>
      <c r="K113" s="28">
        <v>93.029913958676445</v>
      </c>
      <c r="L113" s="25">
        <v>96.972728968607157</v>
      </c>
    </row>
    <row r="114" spans="1:17" ht="20.25" hidden="1" customHeight="1">
      <c r="A114" s="793"/>
      <c r="B114" s="29" t="s">
        <v>153</v>
      </c>
      <c r="C114" s="26">
        <v>5</v>
      </c>
      <c r="D114" s="26">
        <v>84</v>
      </c>
      <c r="E114" s="26">
        <v>76</v>
      </c>
      <c r="F114" s="26">
        <v>12</v>
      </c>
      <c r="G114" s="16">
        <f t="shared" si="2"/>
        <v>92.585622261843156</v>
      </c>
      <c r="H114" s="28">
        <v>90.75341713478899</v>
      </c>
      <c r="I114" s="28">
        <v>90.851828051977932</v>
      </c>
      <c r="J114" s="28">
        <v>90.502262059798085</v>
      </c>
      <c r="K114" s="28">
        <v>91.211445913499986</v>
      </c>
      <c r="L114" s="25">
        <v>94.417827388897308</v>
      </c>
    </row>
    <row r="115" spans="1:17" ht="20.25" hidden="1" customHeight="1" thickBot="1">
      <c r="A115" s="794"/>
      <c r="B115" s="27" t="s">
        <v>154</v>
      </c>
      <c r="C115" s="27">
        <v>5</v>
      </c>
      <c r="D115" s="27">
        <v>121</v>
      </c>
      <c r="E115" s="27">
        <v>95</v>
      </c>
      <c r="F115" s="27">
        <v>19</v>
      </c>
      <c r="G115" s="16">
        <f t="shared" si="2"/>
        <v>91.618421838752369</v>
      </c>
      <c r="H115" s="37">
        <v>89.418813026116368</v>
      </c>
      <c r="I115" s="37">
        <v>91.672366267859871</v>
      </c>
      <c r="J115" s="37">
        <v>88.974352015595215</v>
      </c>
      <c r="K115" s="37">
        <v>83.763719482065198</v>
      </c>
      <c r="L115" s="38">
        <v>93.818030651388355</v>
      </c>
    </row>
    <row r="116" spans="1:17" ht="20.25" hidden="1" customHeight="1" thickBot="1">
      <c r="A116" s="795"/>
      <c r="B116" s="795"/>
      <c r="C116" s="795"/>
      <c r="D116" s="795"/>
      <c r="E116" s="795"/>
      <c r="F116" s="795"/>
      <c r="G116" s="795"/>
      <c r="H116" s="795"/>
      <c r="I116" s="795"/>
      <c r="J116" s="795"/>
      <c r="K116" s="795"/>
      <c r="L116" s="795"/>
    </row>
    <row r="117" spans="1:17" ht="20.25" customHeight="1">
      <c r="A117" s="788" t="s">
        <v>38</v>
      </c>
      <c r="B117" s="778" t="s">
        <v>39</v>
      </c>
      <c r="C117" s="778" t="s">
        <v>40</v>
      </c>
      <c r="D117" s="778" t="s">
        <v>41</v>
      </c>
      <c r="E117" s="778" t="s">
        <v>42</v>
      </c>
      <c r="F117" s="778" t="s">
        <v>43</v>
      </c>
      <c r="G117" s="778" t="s">
        <v>37</v>
      </c>
      <c r="H117" s="781" t="s">
        <v>44</v>
      </c>
      <c r="I117" s="782"/>
      <c r="J117" s="782"/>
      <c r="K117" s="783"/>
      <c r="L117" s="784" t="s">
        <v>45</v>
      </c>
      <c r="P117" s="798" t="s">
        <v>36</v>
      </c>
      <c r="Q117" s="798" t="s">
        <v>33</v>
      </c>
    </row>
    <row r="118" spans="1:17" ht="20.25" customHeight="1" thickBot="1">
      <c r="A118" s="789"/>
      <c r="B118" s="779"/>
      <c r="C118" s="779"/>
      <c r="D118" s="779"/>
      <c r="E118" s="779"/>
      <c r="F118" s="779"/>
      <c r="G118" s="780"/>
      <c r="H118" s="12" t="s">
        <v>46</v>
      </c>
      <c r="I118" s="12" t="s">
        <v>47</v>
      </c>
      <c r="J118" s="12" t="s">
        <v>48</v>
      </c>
      <c r="K118" s="12" t="s">
        <v>49</v>
      </c>
      <c r="L118" s="785"/>
      <c r="P118" s="798"/>
      <c r="Q118" s="798"/>
    </row>
    <row r="119" spans="1:17" ht="20.25" customHeight="1">
      <c r="A119" s="790"/>
      <c r="B119" s="780"/>
      <c r="C119" s="780"/>
      <c r="D119" s="780"/>
      <c r="E119" s="780"/>
      <c r="F119" s="780"/>
      <c r="G119" s="12" t="s">
        <v>50</v>
      </c>
      <c r="H119" s="12" t="s">
        <v>50</v>
      </c>
      <c r="I119" s="12" t="s">
        <v>50</v>
      </c>
      <c r="J119" s="12" t="s">
        <v>50</v>
      </c>
      <c r="K119" s="12" t="s">
        <v>50</v>
      </c>
      <c r="L119" s="13" t="s">
        <v>50</v>
      </c>
      <c r="N119" s="182" t="s">
        <v>279</v>
      </c>
      <c r="P119" s="798"/>
      <c r="Q119" s="798"/>
    </row>
    <row r="120" spans="1:17" ht="20.25" customHeight="1">
      <c r="A120" s="14" t="s">
        <v>51</v>
      </c>
      <c r="B120" s="15" t="s">
        <v>52</v>
      </c>
      <c r="C120" s="15" t="s">
        <v>52</v>
      </c>
      <c r="D120" s="15" t="s">
        <v>52</v>
      </c>
      <c r="E120" s="15" t="s">
        <v>52</v>
      </c>
      <c r="F120" s="15" t="s">
        <v>52</v>
      </c>
      <c r="G120" s="16">
        <v>92.693187574831796</v>
      </c>
      <c r="H120" s="28">
        <v>89.992419057677495</v>
      </c>
      <c r="I120" s="28">
        <v>90.422597421644468</v>
      </c>
      <c r="J120" s="28">
        <v>89.806886229021671</v>
      </c>
      <c r="K120" s="28">
        <v>89.082360681902756</v>
      </c>
      <c r="L120" s="25">
        <v>94.958451613703858</v>
      </c>
      <c r="N120" s="183"/>
      <c r="P120" s="6"/>
      <c r="Q120" s="6"/>
    </row>
    <row r="121" spans="1:17" ht="20.25" customHeight="1">
      <c r="A121" s="792" t="s">
        <v>155</v>
      </c>
      <c r="B121" s="29" t="s">
        <v>0</v>
      </c>
      <c r="C121" s="26">
        <v>4</v>
      </c>
      <c r="D121" s="26">
        <v>100</v>
      </c>
      <c r="E121" s="26">
        <v>14</v>
      </c>
      <c r="F121" s="26">
        <v>19</v>
      </c>
      <c r="G121" s="16">
        <f t="shared" ref="G121:G153" si="3">AVERAGE(H121,L121)</f>
        <v>92.239629125922022</v>
      </c>
      <c r="H121" s="28">
        <v>88.732208814371845</v>
      </c>
      <c r="I121" s="28">
        <v>87.571940118768566</v>
      </c>
      <c r="J121" s="28">
        <v>90.525046458341791</v>
      </c>
      <c r="K121" s="28">
        <v>88.825825496470557</v>
      </c>
      <c r="L121" s="25">
        <v>95.747049437472214</v>
      </c>
      <c r="N121" s="183">
        <f>VLOOKUP(B121,$P$117:$Q$151,2,0)</f>
        <v>89.63</v>
      </c>
      <c r="P121" s="2" t="s">
        <v>0</v>
      </c>
      <c r="Q121" s="3">
        <v>89.63</v>
      </c>
    </row>
    <row r="122" spans="1:17" ht="20.25" customHeight="1">
      <c r="A122" s="793"/>
      <c r="B122" s="29" t="s">
        <v>1</v>
      </c>
      <c r="C122" s="26">
        <v>4</v>
      </c>
      <c r="D122" s="26">
        <v>171</v>
      </c>
      <c r="E122" s="26">
        <v>59</v>
      </c>
      <c r="F122" s="26">
        <v>32</v>
      </c>
      <c r="G122" s="16">
        <f t="shared" si="3"/>
        <v>89.82203281174867</v>
      </c>
      <c r="H122" s="28">
        <v>86.810536386205683</v>
      </c>
      <c r="I122" s="28">
        <v>87.698090707821663</v>
      </c>
      <c r="J122" s="28">
        <v>85.292919120042356</v>
      </c>
      <c r="K122" s="28">
        <v>87.078856657266641</v>
      </c>
      <c r="L122" s="25">
        <v>92.833529237291657</v>
      </c>
      <c r="N122" s="183">
        <f t="shared" ref="N122:N153" si="4">VLOOKUP(B122,$P$117:$Q$151,2,0)</f>
        <v>89.06</v>
      </c>
      <c r="P122" s="2" t="s">
        <v>1</v>
      </c>
      <c r="Q122" s="3">
        <v>89.06</v>
      </c>
    </row>
    <row r="123" spans="1:17" ht="20.25" customHeight="1">
      <c r="A123" s="793"/>
      <c r="B123" s="29" t="s">
        <v>2</v>
      </c>
      <c r="C123" s="26">
        <v>4</v>
      </c>
      <c r="D123" s="26">
        <v>154</v>
      </c>
      <c r="E123" s="26">
        <v>48</v>
      </c>
      <c r="F123" s="26">
        <v>30</v>
      </c>
      <c r="G123" s="16">
        <f t="shared" si="3"/>
        <v>90.658580168265928</v>
      </c>
      <c r="H123" s="28">
        <v>87.835306940990208</v>
      </c>
      <c r="I123" s="28">
        <v>88.999335135841591</v>
      </c>
      <c r="J123" s="28">
        <v>87.791099084724593</v>
      </c>
      <c r="K123" s="28">
        <v>84.867606055414683</v>
      </c>
      <c r="L123" s="25">
        <v>93.481853395541648</v>
      </c>
      <c r="N123" s="187">
        <f t="shared" si="4"/>
        <v>88.9</v>
      </c>
      <c r="P123" s="2" t="s">
        <v>2</v>
      </c>
      <c r="Q123" s="3">
        <v>88.9</v>
      </c>
    </row>
    <row r="124" spans="1:17" ht="20.25" customHeight="1">
      <c r="A124" s="793"/>
      <c r="B124" s="29" t="s">
        <v>3</v>
      </c>
      <c r="C124" s="26">
        <v>4</v>
      </c>
      <c r="D124" s="26">
        <v>129</v>
      </c>
      <c r="E124" s="26">
        <v>33</v>
      </c>
      <c r="F124" s="26">
        <v>27</v>
      </c>
      <c r="G124" s="16">
        <f t="shared" si="3"/>
        <v>91.333209690365038</v>
      </c>
      <c r="H124" s="28">
        <v>88.845513431757851</v>
      </c>
      <c r="I124" s="28">
        <v>90.691574405865225</v>
      </c>
      <c r="J124" s="28">
        <v>89.446308420604439</v>
      </c>
      <c r="K124" s="28">
        <v>83.193232070833318</v>
      </c>
      <c r="L124" s="25">
        <v>93.820905948972211</v>
      </c>
      <c r="N124" s="183">
        <f t="shared" si="4"/>
        <v>88.77</v>
      </c>
      <c r="P124" s="2" t="s">
        <v>3</v>
      </c>
      <c r="Q124" s="3">
        <v>88.77</v>
      </c>
    </row>
    <row r="125" spans="1:17" ht="20.25" customHeight="1">
      <c r="A125" s="793"/>
      <c r="B125" s="29" t="s">
        <v>4</v>
      </c>
      <c r="C125" s="26">
        <v>4</v>
      </c>
      <c r="D125" s="26">
        <v>163</v>
      </c>
      <c r="E125" s="26">
        <v>53</v>
      </c>
      <c r="F125" s="26">
        <v>31</v>
      </c>
      <c r="G125" s="16">
        <f t="shared" si="3"/>
        <v>90.373378545315859</v>
      </c>
      <c r="H125" s="28">
        <v>87.336323053624781</v>
      </c>
      <c r="I125" s="28">
        <v>89.882641907387992</v>
      </c>
      <c r="J125" s="28">
        <v>85.676685365733064</v>
      </c>
      <c r="K125" s="28">
        <v>83.502953288597539</v>
      </c>
      <c r="L125" s="25">
        <v>93.410434037006951</v>
      </c>
      <c r="N125" s="183">
        <f t="shared" si="4"/>
        <v>88.91</v>
      </c>
      <c r="P125" s="2" t="s">
        <v>4</v>
      </c>
      <c r="Q125" s="3">
        <v>88.91</v>
      </c>
    </row>
    <row r="126" spans="1:17" ht="20.25" customHeight="1">
      <c r="A126" s="793"/>
      <c r="B126" s="29" t="s">
        <v>5</v>
      </c>
      <c r="C126" s="26">
        <v>4</v>
      </c>
      <c r="D126" s="26">
        <v>127</v>
      </c>
      <c r="E126" s="26">
        <v>32</v>
      </c>
      <c r="F126" s="26">
        <v>26</v>
      </c>
      <c r="G126" s="16">
        <f t="shared" si="3"/>
        <v>91.467410739255541</v>
      </c>
      <c r="H126" s="28">
        <v>87.201835657684725</v>
      </c>
      <c r="I126" s="28">
        <v>87.32855999317654</v>
      </c>
      <c r="J126" s="28">
        <v>89.12289985187499</v>
      </c>
      <c r="K126" s="28">
        <v>83.630797292548451</v>
      </c>
      <c r="L126" s="25">
        <v>95.732985820826372</v>
      </c>
      <c r="N126" s="183">
        <f t="shared" si="4"/>
        <v>87.87</v>
      </c>
      <c r="P126" s="2" t="s">
        <v>5</v>
      </c>
      <c r="Q126" s="3">
        <v>87.87</v>
      </c>
    </row>
    <row r="127" spans="1:17" ht="20.25" customHeight="1">
      <c r="A127" s="793"/>
      <c r="B127" s="29" t="s">
        <v>6</v>
      </c>
      <c r="C127" s="26">
        <v>4</v>
      </c>
      <c r="D127" s="26">
        <v>105</v>
      </c>
      <c r="E127" s="26">
        <v>17</v>
      </c>
      <c r="F127" s="26">
        <v>21</v>
      </c>
      <c r="G127" s="16">
        <f t="shared" si="3"/>
        <v>92.08052609006613</v>
      </c>
      <c r="H127" s="28">
        <v>89.722902402222502</v>
      </c>
      <c r="I127" s="28">
        <v>90.886817342922953</v>
      </c>
      <c r="J127" s="28">
        <v>88.506585292613622</v>
      </c>
      <c r="K127" s="28">
        <v>89.1400226631458</v>
      </c>
      <c r="L127" s="25">
        <v>94.438149777909757</v>
      </c>
      <c r="N127" s="183">
        <f t="shared" si="4"/>
        <v>90.07</v>
      </c>
      <c r="P127" s="2" t="s">
        <v>6</v>
      </c>
      <c r="Q127" s="3">
        <v>90.07</v>
      </c>
    </row>
    <row r="128" spans="1:17" ht="20.25" customHeight="1">
      <c r="A128" s="793"/>
      <c r="B128" s="29" t="s">
        <v>7</v>
      </c>
      <c r="C128" s="26">
        <v>4</v>
      </c>
      <c r="D128" s="26">
        <v>104</v>
      </c>
      <c r="E128" s="26">
        <v>16</v>
      </c>
      <c r="F128" s="26">
        <v>20</v>
      </c>
      <c r="G128" s="16">
        <f t="shared" si="3"/>
        <v>92.154871015237291</v>
      </c>
      <c r="H128" s="28">
        <v>90.47510931491901</v>
      </c>
      <c r="I128" s="28">
        <v>90.748710785395531</v>
      </c>
      <c r="J128" s="28">
        <v>90.331103578475677</v>
      </c>
      <c r="K128" s="28">
        <v>90.00030507249997</v>
      </c>
      <c r="L128" s="25">
        <v>93.834632715555571</v>
      </c>
      <c r="N128" s="183">
        <f t="shared" si="4"/>
        <v>89.09</v>
      </c>
      <c r="P128" s="2" t="s">
        <v>11</v>
      </c>
      <c r="Q128" s="3">
        <v>89.18</v>
      </c>
    </row>
    <row r="129" spans="1:17" ht="20.25" customHeight="1">
      <c r="A129" s="793"/>
      <c r="B129" s="29" t="s">
        <v>8</v>
      </c>
      <c r="C129" s="26">
        <v>4</v>
      </c>
      <c r="D129" s="26">
        <v>119</v>
      </c>
      <c r="E129" s="26">
        <v>25</v>
      </c>
      <c r="F129" s="26">
        <v>24</v>
      </c>
      <c r="G129" s="16">
        <f t="shared" si="3"/>
        <v>91.679122979752378</v>
      </c>
      <c r="H129" s="28">
        <v>88.311258633685313</v>
      </c>
      <c r="I129" s="28">
        <v>87.407868605365138</v>
      </c>
      <c r="J129" s="28">
        <v>87.751107136675969</v>
      </c>
      <c r="K129" s="28">
        <v>91.823280517749964</v>
      </c>
      <c r="L129" s="25">
        <v>95.046987325819444</v>
      </c>
      <c r="N129" s="183">
        <f t="shared" si="4"/>
        <v>88.41</v>
      </c>
      <c r="P129" s="2" t="s">
        <v>7</v>
      </c>
      <c r="Q129" s="3">
        <v>89.09</v>
      </c>
    </row>
    <row r="130" spans="1:17" ht="20.25" customHeight="1">
      <c r="A130" s="793"/>
      <c r="B130" s="29" t="s">
        <v>9</v>
      </c>
      <c r="C130" s="26">
        <v>4</v>
      </c>
      <c r="D130" s="26">
        <v>137</v>
      </c>
      <c r="E130" s="26">
        <v>38</v>
      </c>
      <c r="F130" s="26">
        <v>28</v>
      </c>
      <c r="G130" s="16">
        <f t="shared" si="3"/>
        <v>91.127321880898307</v>
      </c>
      <c r="H130" s="28">
        <v>88.514986626004955</v>
      </c>
      <c r="I130" s="28">
        <v>90.187022756304728</v>
      </c>
      <c r="J130" s="28">
        <v>87.401825589595575</v>
      </c>
      <c r="K130" s="28">
        <v>86.15886112509024</v>
      </c>
      <c r="L130" s="25">
        <v>93.739657135791674</v>
      </c>
      <c r="N130" s="183">
        <f t="shared" si="4"/>
        <v>89.53</v>
      </c>
      <c r="P130" s="2" t="s">
        <v>8</v>
      </c>
      <c r="Q130" s="3">
        <v>88.41</v>
      </c>
    </row>
    <row r="131" spans="1:17" ht="20.25" customHeight="1">
      <c r="A131" s="793"/>
      <c r="B131" s="29" t="s">
        <v>10</v>
      </c>
      <c r="C131" s="26">
        <v>4</v>
      </c>
      <c r="D131" s="26">
        <v>80</v>
      </c>
      <c r="E131" s="26">
        <v>8</v>
      </c>
      <c r="F131" s="26">
        <v>16</v>
      </c>
      <c r="G131" s="16">
        <f t="shared" si="3"/>
        <v>92.700991812647885</v>
      </c>
      <c r="H131" s="28">
        <v>91.112026421913811</v>
      </c>
      <c r="I131" s="28">
        <v>93.33168774077555</v>
      </c>
      <c r="J131" s="28">
        <v>88.145224664017832</v>
      </c>
      <c r="K131" s="28">
        <v>90.151208700331395</v>
      </c>
      <c r="L131" s="25">
        <v>94.289957203381945</v>
      </c>
      <c r="N131" s="183">
        <f t="shared" si="4"/>
        <v>90.09</v>
      </c>
      <c r="P131" s="2" t="s">
        <v>9</v>
      </c>
      <c r="Q131" s="3">
        <v>89.53</v>
      </c>
    </row>
    <row r="132" spans="1:17" ht="20.25" customHeight="1">
      <c r="A132" s="793"/>
      <c r="B132" s="29" t="s">
        <v>11</v>
      </c>
      <c r="C132" s="26">
        <v>4</v>
      </c>
      <c r="D132" s="26">
        <v>142</v>
      </c>
      <c r="E132" s="26">
        <v>42</v>
      </c>
      <c r="F132" s="26">
        <v>29</v>
      </c>
      <c r="G132" s="16">
        <f t="shared" si="3"/>
        <v>90.894463504523415</v>
      </c>
      <c r="H132" s="28">
        <v>88.255826678803786</v>
      </c>
      <c r="I132" s="28">
        <v>87.399581997832072</v>
      </c>
      <c r="J132" s="28">
        <v>89.346239423432806</v>
      </c>
      <c r="K132" s="28">
        <v>88.410336320945902</v>
      </c>
      <c r="L132" s="25">
        <v>93.533100330243045</v>
      </c>
      <c r="N132" s="183">
        <f t="shared" si="4"/>
        <v>89.18</v>
      </c>
      <c r="P132" s="2" t="s">
        <v>10</v>
      </c>
      <c r="Q132" s="3">
        <v>90.09</v>
      </c>
    </row>
    <row r="133" spans="1:17" ht="20.25" customHeight="1">
      <c r="A133" s="793"/>
      <c r="B133" s="29" t="s">
        <v>12</v>
      </c>
      <c r="C133" s="26">
        <v>4</v>
      </c>
      <c r="D133" s="26">
        <v>120</v>
      </c>
      <c r="E133" s="26">
        <v>26</v>
      </c>
      <c r="F133" s="26">
        <v>25</v>
      </c>
      <c r="G133" s="16">
        <f t="shared" si="3"/>
        <v>91.649892073501334</v>
      </c>
      <c r="H133" s="28">
        <v>89.864301109113811</v>
      </c>
      <c r="I133" s="28">
        <v>90.894038726537872</v>
      </c>
      <c r="J133" s="28">
        <v>89.177111497069973</v>
      </c>
      <c r="K133" s="28">
        <v>88.387179761923036</v>
      </c>
      <c r="L133" s="25">
        <v>93.435483037888858</v>
      </c>
      <c r="N133" s="183" t="e">
        <f t="shared" si="4"/>
        <v>#N/A</v>
      </c>
      <c r="P133" s="2" t="s">
        <v>14</v>
      </c>
      <c r="Q133" s="3">
        <v>91.86</v>
      </c>
    </row>
    <row r="134" spans="1:17" ht="20.25" customHeight="1">
      <c r="A134" s="793"/>
      <c r="B134" s="29" t="s">
        <v>13</v>
      </c>
      <c r="C134" s="26">
        <v>5</v>
      </c>
      <c r="D134" s="26">
        <v>41</v>
      </c>
      <c r="E134" s="26">
        <v>41</v>
      </c>
      <c r="F134" s="26">
        <v>9</v>
      </c>
      <c r="G134" s="16">
        <f t="shared" si="3"/>
        <v>93.750473602616665</v>
      </c>
      <c r="H134" s="28">
        <v>90.276068139404757</v>
      </c>
      <c r="I134" s="28">
        <v>88.814573358589755</v>
      </c>
      <c r="J134" s="28">
        <v>91.170246713793077</v>
      </c>
      <c r="K134" s="28">
        <v>92.217763001562474</v>
      </c>
      <c r="L134" s="25">
        <v>97.224879065828574</v>
      </c>
      <c r="N134" s="183">
        <f t="shared" si="4"/>
        <v>92.01</v>
      </c>
      <c r="P134" s="4" t="s">
        <v>13</v>
      </c>
      <c r="Q134" s="5">
        <v>92.01</v>
      </c>
    </row>
    <row r="135" spans="1:17" ht="20.25" customHeight="1">
      <c r="A135" s="793"/>
      <c r="B135" s="29" t="s">
        <v>14</v>
      </c>
      <c r="C135" s="26">
        <v>5</v>
      </c>
      <c r="D135" s="26">
        <v>43</v>
      </c>
      <c r="E135" s="26">
        <v>43</v>
      </c>
      <c r="F135" s="26">
        <v>10</v>
      </c>
      <c r="G135" s="16">
        <f t="shared" si="3"/>
        <v>93.723654390661864</v>
      </c>
      <c r="H135" s="28">
        <v>91.38065594943086</v>
      </c>
      <c r="I135" s="28">
        <v>90.401933782499995</v>
      </c>
      <c r="J135" s="28">
        <v>91.695593393238624</v>
      </c>
      <c r="K135" s="28">
        <v>93.74202871197366</v>
      </c>
      <c r="L135" s="25">
        <v>96.066652831892853</v>
      </c>
      <c r="N135" s="183">
        <f t="shared" si="4"/>
        <v>91.86</v>
      </c>
      <c r="P135" s="2" t="s">
        <v>15</v>
      </c>
      <c r="Q135" s="3">
        <v>92.47</v>
      </c>
    </row>
    <row r="136" spans="1:17" ht="20.25" customHeight="1">
      <c r="A136" s="793"/>
      <c r="B136" s="29" t="s">
        <v>15</v>
      </c>
      <c r="C136" s="26">
        <v>5</v>
      </c>
      <c r="D136" s="26">
        <v>72</v>
      </c>
      <c r="E136" s="26">
        <v>68</v>
      </c>
      <c r="F136" s="26">
        <v>15</v>
      </c>
      <c r="G136" s="16">
        <f t="shared" si="3"/>
        <v>93.057515319746955</v>
      </c>
      <c r="H136" s="28">
        <v>92.29045757061003</v>
      </c>
      <c r="I136" s="28">
        <v>92.033929760605574</v>
      </c>
      <c r="J136" s="28">
        <v>91.382934486220918</v>
      </c>
      <c r="K136" s="28">
        <v>95.356276718333291</v>
      </c>
      <c r="L136" s="25">
        <v>93.824573068883879</v>
      </c>
      <c r="N136" s="183">
        <f t="shared" si="4"/>
        <v>92.47</v>
      </c>
      <c r="P136" s="2" t="s">
        <v>16</v>
      </c>
      <c r="Q136" s="3">
        <v>92.39</v>
      </c>
    </row>
    <row r="137" spans="1:17" ht="20.25" customHeight="1">
      <c r="A137" s="793"/>
      <c r="B137" s="29" t="s">
        <v>16</v>
      </c>
      <c r="C137" s="26">
        <v>5</v>
      </c>
      <c r="D137" s="26">
        <v>8</v>
      </c>
      <c r="E137" s="26">
        <v>8</v>
      </c>
      <c r="F137" s="26">
        <v>1</v>
      </c>
      <c r="G137" s="16">
        <f t="shared" si="3"/>
        <v>95.104042609690239</v>
      </c>
      <c r="H137" s="28">
        <v>91.818043380210867</v>
      </c>
      <c r="I137" s="28">
        <v>91.470907913167693</v>
      </c>
      <c r="J137" s="28">
        <v>91.760481514523519</v>
      </c>
      <c r="K137" s="28">
        <v>92.977109766931775</v>
      </c>
      <c r="L137" s="25">
        <v>98.390041839169612</v>
      </c>
      <c r="N137" s="183">
        <f t="shared" si="4"/>
        <v>92.39</v>
      </c>
      <c r="P137" s="2" t="s">
        <v>17</v>
      </c>
      <c r="Q137" s="3">
        <v>91.04</v>
      </c>
    </row>
    <row r="138" spans="1:17" ht="20.25" customHeight="1">
      <c r="A138" s="793"/>
      <c r="B138" s="29" t="s">
        <v>17</v>
      </c>
      <c r="C138" s="26">
        <v>5</v>
      </c>
      <c r="D138" s="26">
        <v>81</v>
      </c>
      <c r="E138" s="26">
        <v>73</v>
      </c>
      <c r="F138" s="26">
        <v>17</v>
      </c>
      <c r="G138" s="16">
        <f t="shared" si="3"/>
        <v>92.670406158469376</v>
      </c>
      <c r="H138" s="28">
        <v>89.063382249715545</v>
      </c>
      <c r="I138" s="28">
        <v>89.96978375611765</v>
      </c>
      <c r="J138" s="28">
        <v>86.624046968681796</v>
      </c>
      <c r="K138" s="28">
        <v>91.178912339074046</v>
      </c>
      <c r="L138" s="25">
        <v>96.277430067223193</v>
      </c>
      <c r="N138" s="183">
        <f t="shared" si="4"/>
        <v>91.04</v>
      </c>
      <c r="P138" s="2" t="s">
        <v>18</v>
      </c>
      <c r="Q138" s="3">
        <v>92.9</v>
      </c>
    </row>
    <row r="139" spans="1:17" ht="20.25" customHeight="1">
      <c r="A139" s="793"/>
      <c r="B139" s="29" t="s">
        <v>18</v>
      </c>
      <c r="C139" s="26">
        <v>5</v>
      </c>
      <c r="D139" s="26">
        <v>14</v>
      </c>
      <c r="E139" s="26">
        <v>14</v>
      </c>
      <c r="F139" s="26">
        <v>2</v>
      </c>
      <c r="G139" s="16">
        <f t="shared" si="3"/>
        <v>94.568554899305497</v>
      </c>
      <c r="H139" s="28">
        <v>92.539508561923455</v>
      </c>
      <c r="I139" s="28">
        <v>93.64746702450293</v>
      </c>
      <c r="J139" s="28">
        <v>91.258390273255785</v>
      </c>
      <c r="K139" s="28">
        <v>91.348150382941142</v>
      </c>
      <c r="L139" s="25">
        <v>96.597601236687524</v>
      </c>
      <c r="N139" s="183">
        <f t="shared" si="4"/>
        <v>92.9</v>
      </c>
      <c r="P139" s="2" t="s">
        <v>19</v>
      </c>
      <c r="Q139" s="3">
        <v>90.28</v>
      </c>
    </row>
    <row r="140" spans="1:17" ht="20.25" customHeight="1">
      <c r="A140" s="793"/>
      <c r="B140" s="29" t="s">
        <v>19</v>
      </c>
      <c r="C140" s="26">
        <v>5</v>
      </c>
      <c r="D140" s="26">
        <v>106</v>
      </c>
      <c r="E140" s="26">
        <v>89</v>
      </c>
      <c r="F140" s="26">
        <v>22</v>
      </c>
      <c r="G140" s="16">
        <f t="shared" si="3"/>
        <v>92.014506530765431</v>
      </c>
      <c r="H140" s="28">
        <v>89.515752156575502</v>
      </c>
      <c r="I140" s="28">
        <v>91.356050714849971</v>
      </c>
      <c r="J140" s="28">
        <v>87.037401569642839</v>
      </c>
      <c r="K140" s="28">
        <v>89.274820775652131</v>
      </c>
      <c r="L140" s="25">
        <v>94.513260904955359</v>
      </c>
      <c r="N140" s="183">
        <f t="shared" si="4"/>
        <v>90.28</v>
      </c>
      <c r="P140" s="2" t="s">
        <v>20</v>
      </c>
      <c r="Q140" s="3">
        <v>92.19</v>
      </c>
    </row>
    <row r="141" spans="1:17" ht="20.25" customHeight="1">
      <c r="A141" s="793"/>
      <c r="B141" s="29" t="s">
        <v>20</v>
      </c>
      <c r="C141" s="26">
        <v>5</v>
      </c>
      <c r="D141" s="26">
        <v>30</v>
      </c>
      <c r="E141" s="26">
        <v>30</v>
      </c>
      <c r="F141" s="26">
        <v>6</v>
      </c>
      <c r="G141" s="16">
        <f t="shared" si="3"/>
        <v>94.08948166553796</v>
      </c>
      <c r="H141" s="28">
        <v>92.986098495781249</v>
      </c>
      <c r="I141" s="28">
        <v>92.008541545999975</v>
      </c>
      <c r="J141" s="28">
        <v>93.911446735852223</v>
      </c>
      <c r="K141" s="28">
        <v>93.989968470769227</v>
      </c>
      <c r="L141" s="25">
        <v>95.192864835294657</v>
      </c>
      <c r="N141" s="183">
        <f t="shared" si="4"/>
        <v>92.19</v>
      </c>
      <c r="P141" s="2" t="s">
        <v>21</v>
      </c>
      <c r="Q141" s="3">
        <v>91.95</v>
      </c>
    </row>
    <row r="142" spans="1:17" ht="20.25" customHeight="1">
      <c r="A142" s="793"/>
      <c r="B142" s="29" t="s">
        <v>21</v>
      </c>
      <c r="C142" s="26">
        <v>5</v>
      </c>
      <c r="D142" s="26">
        <v>16</v>
      </c>
      <c r="E142" s="26">
        <v>16</v>
      </c>
      <c r="F142" s="26">
        <v>3</v>
      </c>
      <c r="G142" s="16">
        <f t="shared" si="3"/>
        <v>94.520112613989767</v>
      </c>
      <c r="H142" s="28">
        <v>91.499798112577722</v>
      </c>
      <c r="I142" s="28">
        <v>92.096239448639295</v>
      </c>
      <c r="J142" s="28">
        <v>91.443148893177067</v>
      </c>
      <c r="K142" s="28">
        <v>89.203813936514692</v>
      </c>
      <c r="L142" s="25">
        <v>97.540427115401798</v>
      </c>
      <c r="N142" s="183">
        <f t="shared" si="4"/>
        <v>91.95</v>
      </c>
      <c r="P142" s="2" t="s">
        <v>22</v>
      </c>
      <c r="Q142" s="3">
        <v>91.62</v>
      </c>
    </row>
    <row r="143" spans="1:17" ht="20.25" customHeight="1">
      <c r="A143" s="793"/>
      <c r="B143" s="29" t="s">
        <v>22</v>
      </c>
      <c r="C143" s="26">
        <v>5</v>
      </c>
      <c r="D143" s="26">
        <v>111</v>
      </c>
      <c r="E143" s="26">
        <v>92</v>
      </c>
      <c r="F143" s="26">
        <v>23</v>
      </c>
      <c r="G143" s="16">
        <f t="shared" si="3"/>
        <v>91.901726549689101</v>
      </c>
      <c r="H143" s="28">
        <v>91.70863830139605</v>
      </c>
      <c r="I143" s="28">
        <v>91.426436791444502</v>
      </c>
      <c r="J143" s="28">
        <v>91.647180662393609</v>
      </c>
      <c r="K143" s="28">
        <v>92.883099264374977</v>
      </c>
      <c r="L143" s="25">
        <v>92.094814797982139</v>
      </c>
      <c r="N143" s="183">
        <f t="shared" si="4"/>
        <v>91.62</v>
      </c>
      <c r="P143" s="2" t="s">
        <v>23</v>
      </c>
      <c r="Q143" s="3">
        <v>90.57</v>
      </c>
    </row>
    <row r="144" spans="1:17" ht="20.25" customHeight="1">
      <c r="A144" s="793"/>
      <c r="B144" s="29" t="s">
        <v>23</v>
      </c>
      <c r="C144" s="26">
        <v>5</v>
      </c>
      <c r="D144" s="26">
        <v>40</v>
      </c>
      <c r="E144" s="26">
        <v>40</v>
      </c>
      <c r="F144" s="26">
        <v>8</v>
      </c>
      <c r="G144" s="16">
        <f t="shared" si="3"/>
        <v>93.756943336896143</v>
      </c>
      <c r="H144" s="28">
        <v>91.73196822492622</v>
      </c>
      <c r="I144" s="28">
        <v>90.081951644244853</v>
      </c>
      <c r="J144" s="28">
        <v>92.642479823080734</v>
      </c>
      <c r="K144" s="28">
        <v>94.82027890979758</v>
      </c>
      <c r="L144" s="25">
        <v>95.781918448866051</v>
      </c>
      <c r="N144" s="183">
        <f t="shared" si="4"/>
        <v>90.57</v>
      </c>
      <c r="P144" s="2" t="s">
        <v>24</v>
      </c>
      <c r="Q144" s="3">
        <v>92.16</v>
      </c>
    </row>
    <row r="145" spans="1:17" ht="20.25" customHeight="1">
      <c r="A145" s="793"/>
      <c r="B145" s="29" t="s">
        <v>24</v>
      </c>
      <c r="C145" s="26">
        <v>5</v>
      </c>
      <c r="D145" s="26">
        <v>52</v>
      </c>
      <c r="E145" s="26">
        <v>51</v>
      </c>
      <c r="F145" s="26">
        <v>11</v>
      </c>
      <c r="G145" s="16">
        <f t="shared" si="3"/>
        <v>93.538768204791651</v>
      </c>
      <c r="H145" s="28">
        <v>93.581963491717261</v>
      </c>
      <c r="I145" s="28">
        <v>93.637730012212486</v>
      </c>
      <c r="J145" s="28">
        <v>93.065217342812474</v>
      </c>
      <c r="K145" s="28">
        <v>94.835314978035697</v>
      </c>
      <c r="L145" s="25">
        <v>93.495572917866042</v>
      </c>
      <c r="N145" s="183">
        <f t="shared" si="4"/>
        <v>92.16</v>
      </c>
      <c r="P145" s="2" t="s">
        <v>25</v>
      </c>
      <c r="Q145" s="3">
        <v>91.28</v>
      </c>
    </row>
    <row r="146" spans="1:17" ht="20.25" customHeight="1">
      <c r="A146" s="793"/>
      <c r="B146" s="29" t="s">
        <v>25</v>
      </c>
      <c r="C146" s="26">
        <v>5</v>
      </c>
      <c r="D146" s="26">
        <v>58</v>
      </c>
      <c r="E146" s="26">
        <v>56</v>
      </c>
      <c r="F146" s="26">
        <v>12</v>
      </c>
      <c r="G146" s="16">
        <f t="shared" si="3"/>
        <v>93.349619251744542</v>
      </c>
      <c r="H146" s="28">
        <v>90.94432194113196</v>
      </c>
      <c r="I146" s="28">
        <v>90.163131132499998</v>
      </c>
      <c r="J146" s="28">
        <v>91.101840837392473</v>
      </c>
      <c r="K146" s="28">
        <v>95.234467715937498</v>
      </c>
      <c r="L146" s="25">
        <v>95.754916562357138</v>
      </c>
      <c r="N146" s="183">
        <f t="shared" si="4"/>
        <v>91.28</v>
      </c>
      <c r="P146" s="2" t="s">
        <v>26</v>
      </c>
      <c r="Q146" s="3">
        <v>92.06</v>
      </c>
    </row>
    <row r="147" spans="1:17" ht="20.25" customHeight="1">
      <c r="A147" s="793"/>
      <c r="B147" s="29" t="s">
        <v>26</v>
      </c>
      <c r="C147" s="26">
        <v>5</v>
      </c>
      <c r="D147" s="26">
        <v>71</v>
      </c>
      <c r="E147" s="26">
        <v>67</v>
      </c>
      <c r="F147" s="26">
        <v>14</v>
      </c>
      <c r="G147" s="16">
        <f t="shared" si="3"/>
        <v>93.07174710974931</v>
      </c>
      <c r="H147" s="28">
        <v>90.104224011070059</v>
      </c>
      <c r="I147" s="28">
        <v>89.039727605296775</v>
      </c>
      <c r="J147" s="28">
        <v>92.590961203578402</v>
      </c>
      <c r="K147" s="28">
        <v>85.759594035357139</v>
      </c>
      <c r="L147" s="25">
        <v>96.039270208428562</v>
      </c>
      <c r="N147" s="183">
        <f t="shared" si="4"/>
        <v>92.06</v>
      </c>
      <c r="P147" s="2" t="s">
        <v>27</v>
      </c>
      <c r="Q147" s="3">
        <v>91.97</v>
      </c>
    </row>
    <row r="148" spans="1:17" ht="20.25" customHeight="1">
      <c r="A148" s="793"/>
      <c r="B148" s="29" t="s">
        <v>27</v>
      </c>
      <c r="C148" s="26">
        <v>5</v>
      </c>
      <c r="D148" s="26">
        <v>26</v>
      </c>
      <c r="E148" s="26">
        <v>26</v>
      </c>
      <c r="F148" s="26">
        <v>5</v>
      </c>
      <c r="G148" s="16">
        <f t="shared" si="3"/>
        <v>94.2200277642537</v>
      </c>
      <c r="H148" s="28">
        <v>92.891079483266338</v>
      </c>
      <c r="I148" s="28">
        <v>90.625851322526927</v>
      </c>
      <c r="J148" s="28">
        <v>94.683140014277726</v>
      </c>
      <c r="K148" s="28">
        <v>94.846297402368393</v>
      </c>
      <c r="L148" s="25">
        <v>95.548976045241076</v>
      </c>
      <c r="N148" s="183">
        <f t="shared" si="4"/>
        <v>91.97</v>
      </c>
      <c r="P148" s="2" t="s">
        <v>28</v>
      </c>
      <c r="Q148" s="3">
        <v>91.46</v>
      </c>
    </row>
    <row r="149" spans="1:17" ht="20.25" customHeight="1">
      <c r="A149" s="793"/>
      <c r="B149" s="29" t="s">
        <v>28</v>
      </c>
      <c r="C149" s="26">
        <v>5</v>
      </c>
      <c r="D149" s="26">
        <v>32</v>
      </c>
      <c r="E149" s="26">
        <v>32</v>
      </c>
      <c r="F149" s="26">
        <v>7</v>
      </c>
      <c r="G149" s="16">
        <f t="shared" si="3"/>
        <v>94.019063758044581</v>
      </c>
      <c r="H149" s="28">
        <v>91.467450305571276</v>
      </c>
      <c r="I149" s="28">
        <v>92.149487522793095</v>
      </c>
      <c r="J149" s="28">
        <v>91.775289357261869</v>
      </c>
      <c r="K149" s="28">
        <v>87.968290387580012</v>
      </c>
      <c r="L149" s="25">
        <v>96.570677210517871</v>
      </c>
      <c r="N149" s="183">
        <f t="shared" si="4"/>
        <v>91.46</v>
      </c>
      <c r="P149" s="2" t="s">
        <v>29</v>
      </c>
      <c r="Q149" s="3">
        <v>90.24</v>
      </c>
    </row>
    <row r="150" spans="1:17" ht="20.25" customHeight="1">
      <c r="A150" s="793"/>
      <c r="B150" s="29" t="s">
        <v>29</v>
      </c>
      <c r="C150" s="26">
        <v>5</v>
      </c>
      <c r="D150" s="26">
        <v>67</v>
      </c>
      <c r="E150" s="26">
        <v>63</v>
      </c>
      <c r="F150" s="26">
        <v>13</v>
      </c>
      <c r="G150" s="16">
        <f t="shared" si="3"/>
        <v>93.175498745780573</v>
      </c>
      <c r="H150" s="28">
        <v>89.910905299132551</v>
      </c>
      <c r="I150" s="28">
        <v>92.335650083722399</v>
      </c>
      <c r="J150" s="28">
        <v>89.190782738222197</v>
      </c>
      <c r="K150" s="28">
        <v>83.544453401176469</v>
      </c>
      <c r="L150" s="25">
        <v>96.44009219242858</v>
      </c>
      <c r="N150" s="183">
        <f t="shared" si="4"/>
        <v>90.24</v>
      </c>
      <c r="P150" s="2" t="s">
        <v>30</v>
      </c>
      <c r="Q150" s="3">
        <v>92.07</v>
      </c>
    </row>
    <row r="151" spans="1:17" ht="20.25" customHeight="1">
      <c r="A151" s="793"/>
      <c r="B151" s="29" t="s">
        <v>30</v>
      </c>
      <c r="C151" s="26">
        <v>5</v>
      </c>
      <c r="D151" s="26">
        <v>91</v>
      </c>
      <c r="E151" s="26">
        <v>81</v>
      </c>
      <c r="F151" s="26">
        <v>18</v>
      </c>
      <c r="G151" s="16">
        <f t="shared" si="3"/>
        <v>92.486155255950976</v>
      </c>
      <c r="H151" s="28">
        <v>89.105569812625177</v>
      </c>
      <c r="I151" s="28">
        <v>90.442606837521552</v>
      </c>
      <c r="J151" s="28">
        <v>87.199485353699984</v>
      </c>
      <c r="K151" s="28">
        <v>89.630370833124985</v>
      </c>
      <c r="L151" s="25">
        <v>95.866740699276775</v>
      </c>
      <c r="N151" s="183">
        <f t="shared" si="4"/>
        <v>92.07</v>
      </c>
      <c r="P151" s="2" t="s">
        <v>31</v>
      </c>
      <c r="Q151" s="3">
        <v>92.91</v>
      </c>
    </row>
    <row r="152" spans="1:17" ht="20.25" customHeight="1">
      <c r="A152" s="793"/>
      <c r="B152" s="29" t="s">
        <v>31</v>
      </c>
      <c r="C152" s="26">
        <v>5</v>
      </c>
      <c r="D152" s="52">
        <v>17</v>
      </c>
      <c r="E152" s="52">
        <v>17</v>
      </c>
      <c r="F152" s="52">
        <v>4</v>
      </c>
      <c r="G152" s="16">
        <f t="shared" si="3"/>
        <v>94.496075485334558</v>
      </c>
      <c r="H152" s="45">
        <v>93.854317872240543</v>
      </c>
      <c r="I152" s="45">
        <v>93.192814480129329</v>
      </c>
      <c r="J152" s="45">
        <v>94.89370502099996</v>
      </c>
      <c r="K152" s="45">
        <v>93.453281721249994</v>
      </c>
      <c r="L152" s="46">
        <v>95.137833098428572</v>
      </c>
      <c r="N152" s="183">
        <f t="shared" si="4"/>
        <v>92.91</v>
      </c>
      <c r="P152" s="1"/>
      <c r="Q152" s="1"/>
    </row>
    <row r="153" spans="1:17" ht="20.25" customHeight="1" thickBot="1">
      <c r="A153" s="794"/>
      <c r="B153" s="53" t="s">
        <v>251</v>
      </c>
      <c r="C153" s="54">
        <v>5</v>
      </c>
      <c r="D153" s="55" t="s">
        <v>32</v>
      </c>
      <c r="E153" s="55" t="s">
        <v>32</v>
      </c>
      <c r="F153" s="55" t="s">
        <v>32</v>
      </c>
      <c r="G153" s="56">
        <f t="shared" si="3"/>
        <v>93.832029386082723</v>
      </c>
      <c r="H153" s="57">
        <v>92.731887001213039</v>
      </c>
      <c r="I153" s="57">
        <v>95.737376535469551</v>
      </c>
      <c r="J153" s="57">
        <v>90.843117361176482</v>
      </c>
      <c r="K153" s="57">
        <v>86.562357766666665</v>
      </c>
      <c r="L153" s="58">
        <v>94.932171770952408</v>
      </c>
      <c r="N153" s="186" t="e">
        <f t="shared" si="4"/>
        <v>#N/A</v>
      </c>
      <c r="P153" s="1"/>
      <c r="Q153" s="1"/>
    </row>
    <row r="154" spans="1:17" s="10" customFormat="1" ht="20.25" customHeight="1" thickBot="1">
      <c r="A154" s="31"/>
      <c r="B154" s="32"/>
      <c r="C154" s="33"/>
      <c r="D154" s="33"/>
      <c r="E154" s="33"/>
      <c r="F154" s="33"/>
      <c r="G154" s="34"/>
      <c r="H154" s="34"/>
      <c r="I154" s="34"/>
      <c r="J154" s="34"/>
      <c r="K154" s="34"/>
      <c r="L154" s="34"/>
    </row>
    <row r="155" spans="1:17" ht="20.25" customHeight="1">
      <c r="A155" s="788" t="s">
        <v>38</v>
      </c>
      <c r="B155" s="778" t="s">
        <v>39</v>
      </c>
      <c r="C155" s="778" t="s">
        <v>40</v>
      </c>
      <c r="D155" s="778" t="s">
        <v>41</v>
      </c>
      <c r="E155" s="778" t="s">
        <v>42</v>
      </c>
      <c r="F155" s="778" t="s">
        <v>43</v>
      </c>
      <c r="G155" s="778" t="s">
        <v>37</v>
      </c>
      <c r="H155" s="781" t="s">
        <v>44</v>
      </c>
      <c r="I155" s="782"/>
      <c r="J155" s="782"/>
      <c r="K155" s="783"/>
      <c r="L155" s="784" t="s">
        <v>45</v>
      </c>
    </row>
    <row r="156" spans="1:17" ht="20.25" customHeight="1">
      <c r="A156" s="789"/>
      <c r="B156" s="779"/>
      <c r="C156" s="779"/>
      <c r="D156" s="779"/>
      <c r="E156" s="779"/>
      <c r="F156" s="779"/>
      <c r="G156" s="780"/>
      <c r="H156" s="12" t="s">
        <v>46</v>
      </c>
      <c r="I156" s="12" t="s">
        <v>47</v>
      </c>
      <c r="J156" s="12" t="s">
        <v>48</v>
      </c>
      <c r="K156" s="12" t="s">
        <v>49</v>
      </c>
      <c r="L156" s="785"/>
    </row>
    <row r="157" spans="1:17" ht="20.25" customHeight="1">
      <c r="A157" s="790"/>
      <c r="B157" s="780"/>
      <c r="C157" s="780"/>
      <c r="D157" s="780"/>
      <c r="E157" s="780"/>
      <c r="F157" s="780"/>
      <c r="G157" s="12" t="s">
        <v>50</v>
      </c>
      <c r="H157" s="12" t="s">
        <v>50</v>
      </c>
      <c r="I157" s="12" t="s">
        <v>50</v>
      </c>
      <c r="J157" s="12" t="s">
        <v>50</v>
      </c>
      <c r="K157" s="12" t="s">
        <v>50</v>
      </c>
      <c r="L157" s="13" t="s">
        <v>50</v>
      </c>
    </row>
    <row r="158" spans="1:17" ht="20.25" customHeight="1">
      <c r="A158" s="14" t="s">
        <v>51</v>
      </c>
      <c r="B158" s="15" t="s">
        <v>52</v>
      </c>
      <c r="C158" s="15" t="s">
        <v>52</v>
      </c>
      <c r="D158" s="15" t="s">
        <v>52</v>
      </c>
      <c r="E158" s="15" t="s">
        <v>52</v>
      </c>
      <c r="F158" s="15" t="s">
        <v>52</v>
      </c>
      <c r="G158" s="16">
        <v>93.6423498280041</v>
      </c>
      <c r="H158" s="28">
        <v>91.284144742600702</v>
      </c>
      <c r="I158" s="28">
        <v>91.885311973104962</v>
      </c>
      <c r="J158" s="28">
        <v>90.304434714218814</v>
      </c>
      <c r="K158" s="28">
        <v>91.564595023051581</v>
      </c>
      <c r="L158" s="25">
        <v>95.464698995730089</v>
      </c>
    </row>
    <row r="159" spans="1:17" ht="20.25" customHeight="1">
      <c r="A159" s="792" t="s">
        <v>156</v>
      </c>
      <c r="B159" s="29" t="s">
        <v>157</v>
      </c>
      <c r="C159" s="26">
        <v>4</v>
      </c>
      <c r="D159" s="26">
        <v>116</v>
      </c>
      <c r="E159" s="26">
        <v>23</v>
      </c>
      <c r="F159" s="26">
        <v>21</v>
      </c>
      <c r="G159" s="16">
        <f t="shared" ref="G159:G183" si="5">AVERAGE(H159,L159)</f>
        <v>91.779881391009496</v>
      </c>
      <c r="H159" s="28">
        <v>88.940699735991188</v>
      </c>
      <c r="I159" s="28">
        <v>89.475077353571194</v>
      </c>
      <c r="J159" s="28">
        <v>88.867186779961827</v>
      </c>
      <c r="K159" s="28">
        <v>87.599757025121903</v>
      </c>
      <c r="L159" s="25">
        <v>94.619063046027819</v>
      </c>
    </row>
    <row r="160" spans="1:17" ht="20.25" customHeight="1">
      <c r="A160" s="793"/>
      <c r="B160" s="29" t="s">
        <v>158</v>
      </c>
      <c r="C160" s="26">
        <v>4</v>
      </c>
      <c r="D160" s="26">
        <v>148</v>
      </c>
      <c r="E160" s="26">
        <v>45</v>
      </c>
      <c r="F160" s="26">
        <v>25</v>
      </c>
      <c r="G160" s="16">
        <f t="shared" si="5"/>
        <v>90.798647911533209</v>
      </c>
      <c r="H160" s="28">
        <v>87.924034720267798</v>
      </c>
      <c r="I160" s="28">
        <v>89.96137209238762</v>
      </c>
      <c r="J160" s="28">
        <v>85.204894124576924</v>
      </c>
      <c r="K160" s="28">
        <v>86.945711421513153</v>
      </c>
      <c r="L160" s="25">
        <v>93.67326110279862</v>
      </c>
    </row>
    <row r="161" spans="1:12" ht="20.25" customHeight="1">
      <c r="A161" s="793"/>
      <c r="B161" s="29" t="s">
        <v>159</v>
      </c>
      <c r="C161" s="26">
        <v>4</v>
      </c>
      <c r="D161" s="26">
        <v>117</v>
      </c>
      <c r="E161" s="26">
        <v>24</v>
      </c>
      <c r="F161" s="26">
        <v>22</v>
      </c>
      <c r="G161" s="16">
        <f t="shared" si="5"/>
        <v>91.745076451439189</v>
      </c>
      <c r="H161" s="28">
        <v>88.819947421072797</v>
      </c>
      <c r="I161" s="28">
        <v>89.322706937713392</v>
      </c>
      <c r="J161" s="28">
        <v>87.898104012637091</v>
      </c>
      <c r="K161" s="28">
        <v>89.052909037986083</v>
      </c>
      <c r="L161" s="25">
        <v>94.670205481805567</v>
      </c>
    </row>
    <row r="162" spans="1:12" ht="20.25" customHeight="1">
      <c r="A162" s="793"/>
      <c r="B162" s="29" t="s">
        <v>160</v>
      </c>
      <c r="C162" s="26">
        <v>4</v>
      </c>
      <c r="D162" s="26">
        <v>136</v>
      </c>
      <c r="E162" s="26">
        <v>37</v>
      </c>
      <c r="F162" s="26">
        <v>24</v>
      </c>
      <c r="G162" s="16">
        <f t="shared" si="5"/>
        <v>91.155087846239866</v>
      </c>
      <c r="H162" s="28">
        <v>89.591771997028331</v>
      </c>
      <c r="I162" s="28">
        <v>90.377864344508424</v>
      </c>
      <c r="J162" s="28">
        <v>87.667005203198528</v>
      </c>
      <c r="K162" s="28">
        <v>90.929995067738076</v>
      </c>
      <c r="L162" s="25">
        <v>92.7184036954514</v>
      </c>
    </row>
    <row r="163" spans="1:12" ht="20.25" customHeight="1">
      <c r="A163" s="793"/>
      <c r="B163" s="29" t="s">
        <v>161</v>
      </c>
      <c r="C163" s="26">
        <v>4</v>
      </c>
      <c r="D163" s="26">
        <v>123</v>
      </c>
      <c r="E163" s="26">
        <v>28</v>
      </c>
      <c r="F163" s="26">
        <v>23</v>
      </c>
      <c r="G163" s="16">
        <f t="shared" si="5"/>
        <v>91.55294195892634</v>
      </c>
      <c r="H163" s="28">
        <v>89.285946445880455</v>
      </c>
      <c r="I163" s="28">
        <v>89.705005196243974</v>
      </c>
      <c r="J163" s="28">
        <v>89.095675132179466</v>
      </c>
      <c r="K163" s="28">
        <v>88.383659060348791</v>
      </c>
      <c r="L163" s="25">
        <v>93.819937471972239</v>
      </c>
    </row>
    <row r="164" spans="1:12" ht="20.25" customHeight="1">
      <c r="A164" s="793"/>
      <c r="B164" s="29" t="s">
        <v>162</v>
      </c>
      <c r="C164" s="26">
        <v>4</v>
      </c>
      <c r="D164" s="26">
        <v>73</v>
      </c>
      <c r="E164" s="26">
        <v>5</v>
      </c>
      <c r="F164" s="26">
        <v>17</v>
      </c>
      <c r="G164" s="16">
        <f t="shared" si="5"/>
        <v>93.047556130023182</v>
      </c>
      <c r="H164" s="28">
        <v>90.005762883032489</v>
      </c>
      <c r="I164" s="28">
        <v>89.349441437570405</v>
      </c>
      <c r="J164" s="28">
        <v>89.144651030402144</v>
      </c>
      <c r="K164" s="28">
        <v>93.578257512302585</v>
      </c>
      <c r="L164" s="25">
        <v>96.089349377013875</v>
      </c>
    </row>
    <row r="165" spans="1:12" ht="20.25" customHeight="1">
      <c r="A165" s="793"/>
      <c r="B165" s="29" t="s">
        <v>163</v>
      </c>
      <c r="C165" s="26">
        <v>4</v>
      </c>
      <c r="D165" s="26">
        <v>65</v>
      </c>
      <c r="E165" s="26">
        <v>4</v>
      </c>
      <c r="F165" s="26">
        <v>16</v>
      </c>
      <c r="G165" s="16">
        <f t="shared" si="5"/>
        <v>93.206882712023912</v>
      </c>
      <c r="H165" s="28">
        <v>90.301669903936684</v>
      </c>
      <c r="I165" s="28">
        <v>92.880839316527414</v>
      </c>
      <c r="J165" s="28">
        <v>87.459277863796288</v>
      </c>
      <c r="K165" s="28">
        <v>88.575269645562486</v>
      </c>
      <c r="L165" s="25">
        <v>96.112095520111126</v>
      </c>
    </row>
    <row r="166" spans="1:12" ht="20.25" customHeight="1">
      <c r="A166" s="793"/>
      <c r="B166" s="29" t="s">
        <v>164</v>
      </c>
      <c r="C166" s="26">
        <v>5</v>
      </c>
      <c r="D166" s="26">
        <v>49</v>
      </c>
      <c r="E166" s="26">
        <v>48</v>
      </c>
      <c r="F166" s="26">
        <v>15</v>
      </c>
      <c r="G166" s="16">
        <f t="shared" si="5"/>
        <v>93.563585636610213</v>
      </c>
      <c r="H166" s="28">
        <v>92.579186682050732</v>
      </c>
      <c r="I166" s="28">
        <v>91.854415128346758</v>
      </c>
      <c r="J166" s="28">
        <v>92.220784116489341</v>
      </c>
      <c r="K166" s="28">
        <v>95.830805466842065</v>
      </c>
      <c r="L166" s="25">
        <v>94.54798459116968</v>
      </c>
    </row>
    <row r="167" spans="1:12" ht="20.25" customHeight="1">
      <c r="A167" s="793"/>
      <c r="B167" s="29" t="s">
        <v>165</v>
      </c>
      <c r="C167" s="26">
        <v>5</v>
      </c>
      <c r="D167" s="26">
        <v>5</v>
      </c>
      <c r="E167" s="26">
        <v>5</v>
      </c>
      <c r="F167" s="26">
        <v>4</v>
      </c>
      <c r="G167" s="16">
        <f t="shared" si="5"/>
        <v>95.439329587536832</v>
      </c>
      <c r="H167" s="28">
        <v>93.945058490127195</v>
      </c>
      <c r="I167" s="28">
        <v>95.351084101088787</v>
      </c>
      <c r="J167" s="28">
        <v>92.111704265909069</v>
      </c>
      <c r="K167" s="28">
        <v>93.903063272499963</v>
      </c>
      <c r="L167" s="25">
        <v>96.933600684946484</v>
      </c>
    </row>
    <row r="168" spans="1:12" ht="20.25" customHeight="1">
      <c r="A168" s="793"/>
      <c r="B168" s="29" t="s">
        <v>166</v>
      </c>
      <c r="C168" s="26">
        <v>5</v>
      </c>
      <c r="D168" s="26">
        <v>33</v>
      </c>
      <c r="E168" s="26">
        <v>33</v>
      </c>
      <c r="F168" s="26">
        <v>11</v>
      </c>
      <c r="G168" s="16">
        <f t="shared" si="5"/>
        <v>93.96156129879364</v>
      </c>
      <c r="H168" s="28">
        <v>91.695996078792618</v>
      </c>
      <c r="I168" s="28">
        <v>92.607486344032921</v>
      </c>
      <c r="J168" s="28">
        <v>91.786553314550517</v>
      </c>
      <c r="K168" s="28">
        <v>88.269325145972218</v>
      </c>
      <c r="L168" s="25">
        <v>96.227126518794663</v>
      </c>
    </row>
    <row r="169" spans="1:12" ht="20.25" customHeight="1">
      <c r="A169" s="793"/>
      <c r="B169" s="29" t="s">
        <v>167</v>
      </c>
      <c r="C169" s="26">
        <v>5</v>
      </c>
      <c r="D169" s="26">
        <v>23</v>
      </c>
      <c r="E169" s="26">
        <v>23</v>
      </c>
      <c r="F169" s="26">
        <v>9</v>
      </c>
      <c r="G169" s="16">
        <f t="shared" si="5"/>
        <v>94.339918038214748</v>
      </c>
      <c r="H169" s="28">
        <v>93.337602759991981</v>
      </c>
      <c r="I169" s="28">
        <v>94.20482281337766</v>
      </c>
      <c r="J169" s="28">
        <v>93.392279763777736</v>
      </c>
      <c r="K169" s="28">
        <v>83.132645127999993</v>
      </c>
      <c r="L169" s="25">
        <v>95.342233316437515</v>
      </c>
    </row>
    <row r="170" spans="1:12" ht="20.25" customHeight="1">
      <c r="A170" s="793"/>
      <c r="B170" s="29" t="s">
        <v>168</v>
      </c>
      <c r="C170" s="26">
        <v>5</v>
      </c>
      <c r="D170" s="26">
        <v>13</v>
      </c>
      <c r="E170" s="26">
        <v>13</v>
      </c>
      <c r="F170" s="26">
        <v>6</v>
      </c>
      <c r="G170" s="16">
        <f t="shared" si="5"/>
        <v>94.593593515628342</v>
      </c>
      <c r="H170" s="28">
        <v>92.065355330497724</v>
      </c>
      <c r="I170" s="28">
        <v>92.213218465615753</v>
      </c>
      <c r="J170" s="28">
        <v>91.935479530290692</v>
      </c>
      <c r="K170" s="28">
        <v>91.905358671333303</v>
      </c>
      <c r="L170" s="25">
        <v>97.12183170075896</v>
      </c>
    </row>
    <row r="171" spans="1:12" ht="20.25" customHeight="1">
      <c r="A171" s="793"/>
      <c r="B171" s="29" t="s">
        <v>169</v>
      </c>
      <c r="C171" s="26">
        <v>5</v>
      </c>
      <c r="D171" s="26">
        <v>12</v>
      </c>
      <c r="E171" s="26">
        <v>12</v>
      </c>
      <c r="F171" s="26">
        <v>5</v>
      </c>
      <c r="G171" s="16">
        <f t="shared" si="5"/>
        <v>94.741019338503875</v>
      </c>
      <c r="H171" s="28">
        <v>94.260763598855945</v>
      </c>
      <c r="I171" s="28">
        <v>95.644088611177736</v>
      </c>
      <c r="J171" s="28">
        <v>93.561196405909257</v>
      </c>
      <c r="K171" s="28">
        <v>92.075841934074035</v>
      </c>
      <c r="L171" s="25">
        <v>95.221275078151805</v>
      </c>
    </row>
    <row r="172" spans="1:12" ht="20.25" customHeight="1">
      <c r="A172" s="793"/>
      <c r="B172" s="29" t="s">
        <v>170</v>
      </c>
      <c r="C172" s="26">
        <v>5</v>
      </c>
      <c r="D172" s="26">
        <v>35</v>
      </c>
      <c r="E172" s="26">
        <v>35</v>
      </c>
      <c r="F172" s="26">
        <v>13</v>
      </c>
      <c r="G172" s="16">
        <f t="shared" si="5"/>
        <v>93.926770474170269</v>
      </c>
      <c r="H172" s="28">
        <v>91.810809793295903</v>
      </c>
      <c r="I172" s="28">
        <v>92.22177338298772</v>
      </c>
      <c r="J172" s="28">
        <v>89.382795984641461</v>
      </c>
      <c r="K172" s="28">
        <v>97.747334462333313</v>
      </c>
      <c r="L172" s="25">
        <v>96.042731155044649</v>
      </c>
    </row>
    <row r="173" spans="1:12" ht="20.25" customHeight="1">
      <c r="A173" s="793"/>
      <c r="B173" s="29" t="s">
        <v>171</v>
      </c>
      <c r="C173" s="26">
        <v>5</v>
      </c>
      <c r="D173" s="26">
        <v>18</v>
      </c>
      <c r="E173" s="26">
        <v>18</v>
      </c>
      <c r="F173" s="26">
        <v>7</v>
      </c>
      <c r="G173" s="16">
        <f t="shared" si="5"/>
        <v>94.49607530673444</v>
      </c>
      <c r="H173" s="28">
        <v>92.484241492540292</v>
      </c>
      <c r="I173" s="28">
        <v>94.084837267736575</v>
      </c>
      <c r="J173" s="28">
        <v>90.653196286104645</v>
      </c>
      <c r="K173" s="28">
        <v>91.93443949369285</v>
      </c>
      <c r="L173" s="25">
        <v>96.507909120928602</v>
      </c>
    </row>
    <row r="174" spans="1:12" ht="20.25" customHeight="1">
      <c r="A174" s="793"/>
      <c r="B174" s="29" t="s">
        <v>172</v>
      </c>
      <c r="C174" s="26">
        <v>5</v>
      </c>
      <c r="D174" s="26">
        <v>3</v>
      </c>
      <c r="E174" s="26">
        <v>3</v>
      </c>
      <c r="F174" s="26">
        <v>3</v>
      </c>
      <c r="G174" s="16">
        <f t="shared" si="5"/>
        <v>95.816339003189086</v>
      </c>
      <c r="H174" s="28">
        <v>93.748023722271</v>
      </c>
      <c r="I174" s="28">
        <v>94.577711648437486</v>
      </c>
      <c r="J174" s="28">
        <v>92.108727429687505</v>
      </c>
      <c r="K174" s="28">
        <v>95.094665552236805</v>
      </c>
      <c r="L174" s="25">
        <v>97.884654284107185</v>
      </c>
    </row>
    <row r="175" spans="1:12" ht="20.25" customHeight="1">
      <c r="A175" s="793"/>
      <c r="B175" s="29" t="s">
        <v>173</v>
      </c>
      <c r="C175" s="26">
        <v>5</v>
      </c>
      <c r="D175" s="26">
        <v>95</v>
      </c>
      <c r="E175" s="26">
        <v>85</v>
      </c>
      <c r="F175" s="26">
        <v>19</v>
      </c>
      <c r="G175" s="16">
        <f t="shared" si="5"/>
        <v>92.438119882364248</v>
      </c>
      <c r="H175" s="28">
        <v>90.87763261504098</v>
      </c>
      <c r="I175" s="28">
        <v>91.665903375708311</v>
      </c>
      <c r="J175" s="28">
        <v>88.079203092222215</v>
      </c>
      <c r="K175" s="28">
        <v>95.503108078970556</v>
      </c>
      <c r="L175" s="25">
        <v>93.998607149687501</v>
      </c>
    </row>
    <row r="176" spans="1:12" ht="20.25" customHeight="1">
      <c r="A176" s="793"/>
      <c r="B176" s="29" t="s">
        <v>174</v>
      </c>
      <c r="C176" s="26">
        <v>5</v>
      </c>
      <c r="D176" s="26">
        <v>38</v>
      </c>
      <c r="E176" s="26">
        <v>38</v>
      </c>
      <c r="F176" s="26">
        <v>14</v>
      </c>
      <c r="G176" s="16">
        <f t="shared" si="5"/>
        <v>93.874431727884726</v>
      </c>
      <c r="H176" s="28">
        <v>92.300696877287265</v>
      </c>
      <c r="I176" s="28">
        <v>93.134474493752649</v>
      </c>
      <c r="J176" s="28">
        <v>91.19140920966403</v>
      </c>
      <c r="K176" s="28">
        <v>92.549413568913025</v>
      </c>
      <c r="L176" s="25">
        <v>95.448166578482187</v>
      </c>
    </row>
    <row r="177" spans="1:12" ht="20.25" customHeight="1">
      <c r="A177" s="793"/>
      <c r="B177" s="29" t="s">
        <v>175</v>
      </c>
      <c r="C177" s="26">
        <v>5</v>
      </c>
      <c r="D177" s="26">
        <v>21</v>
      </c>
      <c r="E177" s="26">
        <v>21</v>
      </c>
      <c r="F177" s="26">
        <v>8</v>
      </c>
      <c r="G177" s="16">
        <f t="shared" si="5"/>
        <v>94.434749823651856</v>
      </c>
      <c r="H177" s="28">
        <v>92.131547818285839</v>
      </c>
      <c r="I177" s="28">
        <v>93.269362884806341</v>
      </c>
      <c r="J177" s="28">
        <v>90.4871171135118</v>
      </c>
      <c r="K177" s="28">
        <v>93.069614796874973</v>
      </c>
      <c r="L177" s="25">
        <v>96.737951829017888</v>
      </c>
    </row>
    <row r="178" spans="1:12" ht="20.25" customHeight="1">
      <c r="A178" s="793"/>
      <c r="B178" s="29" t="s">
        <v>176</v>
      </c>
      <c r="C178" s="26">
        <v>5</v>
      </c>
      <c r="D178" s="26">
        <v>97</v>
      </c>
      <c r="E178" s="26">
        <v>86</v>
      </c>
      <c r="F178" s="26">
        <v>20</v>
      </c>
      <c r="G178" s="16">
        <f t="shared" si="5"/>
        <v>92.358897012342723</v>
      </c>
      <c r="H178" s="28">
        <v>91.091747279828297</v>
      </c>
      <c r="I178" s="28">
        <v>93.165499273694039</v>
      </c>
      <c r="J178" s="28">
        <v>87.759502559274978</v>
      </c>
      <c r="K178" s="28">
        <v>91.715306999673885</v>
      </c>
      <c r="L178" s="25">
        <v>93.626046744857149</v>
      </c>
    </row>
    <row r="179" spans="1:12" ht="20.25" customHeight="1">
      <c r="A179" s="793"/>
      <c r="B179" s="29" t="s">
        <v>177</v>
      </c>
      <c r="C179" s="26">
        <v>5</v>
      </c>
      <c r="D179" s="26">
        <v>34</v>
      </c>
      <c r="E179" s="26">
        <v>34</v>
      </c>
      <c r="F179" s="26">
        <v>12</v>
      </c>
      <c r="G179" s="16">
        <f t="shared" si="5"/>
        <v>93.942925315814961</v>
      </c>
      <c r="H179" s="28">
        <v>92.021724871353101</v>
      </c>
      <c r="I179" s="28">
        <v>91.465233360986218</v>
      </c>
      <c r="J179" s="28">
        <v>92.227870150012237</v>
      </c>
      <c r="K179" s="28">
        <v>93.216168977717373</v>
      </c>
      <c r="L179" s="25">
        <v>95.864125760276821</v>
      </c>
    </row>
    <row r="180" spans="1:12" ht="20.25" customHeight="1">
      <c r="A180" s="793"/>
      <c r="B180" s="29" t="s">
        <v>178</v>
      </c>
      <c r="C180" s="26">
        <v>5</v>
      </c>
      <c r="D180" s="26">
        <v>29</v>
      </c>
      <c r="E180" s="26">
        <v>29</v>
      </c>
      <c r="F180" s="26">
        <v>10</v>
      </c>
      <c r="G180" s="16">
        <f t="shared" si="5"/>
        <v>94.093894181337987</v>
      </c>
      <c r="H180" s="28">
        <v>91.255526210354489</v>
      </c>
      <c r="I180" s="28">
        <v>92.734996663059718</v>
      </c>
      <c r="J180" s="28">
        <v>87.968565858206489</v>
      </c>
      <c r="K180" s="28">
        <v>93.735319346904731</v>
      </c>
      <c r="L180" s="25">
        <v>96.932262152321485</v>
      </c>
    </row>
    <row r="181" spans="1:12" ht="20.25" customHeight="1">
      <c r="A181" s="793"/>
      <c r="B181" s="29" t="s">
        <v>179</v>
      </c>
      <c r="C181" s="26">
        <v>5</v>
      </c>
      <c r="D181" s="26">
        <v>1</v>
      </c>
      <c r="E181" s="26">
        <v>1</v>
      </c>
      <c r="F181" s="26">
        <v>1</v>
      </c>
      <c r="G181" s="16">
        <f t="shared" si="5"/>
        <v>96.319860170575737</v>
      </c>
      <c r="H181" s="28">
        <v>94.749533585812159</v>
      </c>
      <c r="I181" s="28">
        <v>94.707154087584513</v>
      </c>
      <c r="J181" s="28">
        <v>94.50687782228259</v>
      </c>
      <c r="K181" s="28">
        <v>95.466384955263123</v>
      </c>
      <c r="L181" s="25">
        <v>97.890186755339329</v>
      </c>
    </row>
    <row r="182" spans="1:12" ht="20.25" customHeight="1">
      <c r="A182" s="793"/>
      <c r="B182" s="29" t="s">
        <v>180</v>
      </c>
      <c r="C182" s="26">
        <v>5</v>
      </c>
      <c r="D182" s="26">
        <v>88</v>
      </c>
      <c r="E182" s="26">
        <v>80</v>
      </c>
      <c r="F182" s="26">
        <v>18</v>
      </c>
      <c r="G182" s="16">
        <f t="shared" si="5"/>
        <v>92.50138224749341</v>
      </c>
      <c r="H182" s="28">
        <v>91.13327738100466</v>
      </c>
      <c r="I182" s="28">
        <v>87.802671926261354</v>
      </c>
      <c r="J182" s="28">
        <v>94.694107886792565</v>
      </c>
      <c r="K182" s="28">
        <v>93.764253120937454</v>
      </c>
      <c r="L182" s="25">
        <v>93.86948711398216</v>
      </c>
    </row>
    <row r="183" spans="1:12" ht="20.25" customHeight="1" thickBot="1">
      <c r="A183" s="794"/>
      <c r="B183" s="35" t="s">
        <v>181</v>
      </c>
      <c r="C183" s="27">
        <v>5</v>
      </c>
      <c r="D183" s="27">
        <v>2</v>
      </c>
      <c r="E183" s="27">
        <v>2</v>
      </c>
      <c r="F183" s="27">
        <v>2</v>
      </c>
      <c r="G183" s="36">
        <f t="shared" si="5"/>
        <v>95.980719035262297</v>
      </c>
      <c r="H183" s="37">
        <v>95.370865899649559</v>
      </c>
      <c r="I183" s="37">
        <v>95.721838647985848</v>
      </c>
      <c r="J183" s="37">
        <v>94.424366852804852</v>
      </c>
      <c r="K183" s="37">
        <v>96.493360636249975</v>
      </c>
      <c r="L183" s="38">
        <v>96.590572170875021</v>
      </c>
    </row>
    <row r="184" spans="1:12" ht="20.25" customHeight="1" thickBot="1"/>
    <row r="185" spans="1:12" ht="20.25" customHeight="1">
      <c r="A185" s="788" t="s">
        <v>38</v>
      </c>
      <c r="B185" s="778" t="s">
        <v>39</v>
      </c>
      <c r="C185" s="778" t="s">
        <v>40</v>
      </c>
      <c r="D185" s="778" t="s">
        <v>41</v>
      </c>
      <c r="E185" s="778" t="s">
        <v>42</v>
      </c>
      <c r="F185" s="778" t="s">
        <v>43</v>
      </c>
      <c r="G185" s="778" t="s">
        <v>37</v>
      </c>
      <c r="H185" s="781" t="s">
        <v>44</v>
      </c>
      <c r="I185" s="782"/>
      <c r="J185" s="782"/>
      <c r="K185" s="783"/>
      <c r="L185" s="784" t="s">
        <v>45</v>
      </c>
    </row>
    <row r="186" spans="1:12" ht="20.25" customHeight="1">
      <c r="A186" s="789"/>
      <c r="B186" s="779"/>
      <c r="C186" s="779"/>
      <c r="D186" s="779"/>
      <c r="E186" s="779"/>
      <c r="F186" s="779"/>
      <c r="G186" s="780"/>
      <c r="H186" s="12" t="s">
        <v>46</v>
      </c>
      <c r="I186" s="12" t="s">
        <v>47</v>
      </c>
      <c r="J186" s="12" t="s">
        <v>48</v>
      </c>
      <c r="K186" s="12" t="s">
        <v>49</v>
      </c>
      <c r="L186" s="785"/>
    </row>
    <row r="187" spans="1:12" ht="20.25" customHeight="1">
      <c r="A187" s="790"/>
      <c r="B187" s="780"/>
      <c r="C187" s="780"/>
      <c r="D187" s="780"/>
      <c r="E187" s="780"/>
      <c r="F187" s="780"/>
      <c r="G187" s="12" t="s">
        <v>50</v>
      </c>
      <c r="H187" s="12" t="s">
        <v>50</v>
      </c>
      <c r="I187" s="12" t="s">
        <v>50</v>
      </c>
      <c r="J187" s="12" t="s">
        <v>50</v>
      </c>
      <c r="K187" s="12" t="s">
        <v>50</v>
      </c>
      <c r="L187" s="13" t="s">
        <v>50</v>
      </c>
    </row>
    <row r="188" spans="1:12" ht="20.25" customHeight="1">
      <c r="A188" s="14" t="s">
        <v>51</v>
      </c>
      <c r="B188" s="15" t="s">
        <v>52</v>
      </c>
      <c r="C188" s="15" t="s">
        <v>52</v>
      </c>
      <c r="D188" s="15" t="s">
        <v>52</v>
      </c>
      <c r="E188" s="15" t="s">
        <v>52</v>
      </c>
      <c r="F188" s="15" t="s">
        <v>52</v>
      </c>
      <c r="G188" s="16">
        <v>93.232072139711235</v>
      </c>
      <c r="H188" s="28">
        <v>91.245135660476919</v>
      </c>
      <c r="I188" s="28">
        <v>92.248030596955019</v>
      </c>
      <c r="J188" s="28">
        <v>90.302359957908848</v>
      </c>
      <c r="K188" s="28">
        <v>90.254568725650927</v>
      </c>
      <c r="L188" s="25">
        <v>94.654931276243232</v>
      </c>
    </row>
    <row r="189" spans="1:12" ht="20.25" customHeight="1">
      <c r="A189" s="786" t="s">
        <v>182</v>
      </c>
      <c r="B189" s="29" t="s">
        <v>183</v>
      </c>
      <c r="C189" s="26">
        <v>4</v>
      </c>
      <c r="D189" s="26">
        <v>54</v>
      </c>
      <c r="E189" s="26">
        <v>2</v>
      </c>
      <c r="F189" s="26">
        <v>15</v>
      </c>
      <c r="G189" s="16">
        <f>AVERAGE(H189,L189)</f>
        <v>93.451426336465772</v>
      </c>
      <c r="H189" s="28">
        <v>93.668048486087798</v>
      </c>
      <c r="I189" s="28">
        <v>93.802874360793581</v>
      </c>
      <c r="J189" s="28">
        <v>94.090469226445279</v>
      </c>
      <c r="K189" s="28">
        <v>92.563597144619095</v>
      </c>
      <c r="L189" s="25">
        <v>93.234804186843746</v>
      </c>
    </row>
    <row r="190" spans="1:12" ht="20.25" customHeight="1">
      <c r="A190" s="791"/>
      <c r="B190" s="29" t="s">
        <v>184</v>
      </c>
      <c r="C190" s="26">
        <v>4</v>
      </c>
      <c r="D190" s="26">
        <v>125</v>
      </c>
      <c r="E190" s="26">
        <v>30</v>
      </c>
      <c r="F190" s="26">
        <v>26</v>
      </c>
      <c r="G190" s="16">
        <f t="shared" ref="G190:G219" si="6">AVERAGE(H190,L190)</f>
        <v>91.486009569325745</v>
      </c>
      <c r="H190" s="28">
        <v>89.069421931085458</v>
      </c>
      <c r="I190" s="28">
        <v>88.765643491717242</v>
      </c>
      <c r="J190" s="28">
        <v>87.496618111573255</v>
      </c>
      <c r="K190" s="28">
        <v>92.206899551513118</v>
      </c>
      <c r="L190" s="25">
        <v>93.902597207566018</v>
      </c>
    </row>
    <row r="191" spans="1:12" ht="20.25" customHeight="1">
      <c r="A191" s="791"/>
      <c r="B191" s="29" t="s">
        <v>185</v>
      </c>
      <c r="C191" s="26">
        <v>4</v>
      </c>
      <c r="D191" s="26">
        <v>47</v>
      </c>
      <c r="E191" s="26">
        <v>1</v>
      </c>
      <c r="F191" s="26">
        <v>13</v>
      </c>
      <c r="G191" s="16">
        <f t="shared" si="6"/>
        <v>93.623495862497435</v>
      </c>
      <c r="H191" s="28">
        <v>91.94490997638033</v>
      </c>
      <c r="I191" s="28">
        <v>92.88953587743751</v>
      </c>
      <c r="J191" s="28">
        <v>91.678820345765274</v>
      </c>
      <c r="K191" s="28">
        <v>90.105742912132314</v>
      </c>
      <c r="L191" s="25">
        <v>95.302081748614555</v>
      </c>
    </row>
    <row r="192" spans="1:12" ht="20.25" customHeight="1">
      <c r="A192" s="791"/>
      <c r="B192" s="29" t="s">
        <v>186</v>
      </c>
      <c r="C192" s="26">
        <v>4</v>
      </c>
      <c r="D192" s="26">
        <v>103</v>
      </c>
      <c r="E192" s="26">
        <v>15</v>
      </c>
      <c r="F192" s="26">
        <v>24</v>
      </c>
      <c r="G192" s="16">
        <f t="shared" si="6"/>
        <v>92.178372946793132</v>
      </c>
      <c r="H192" s="28">
        <v>91.642159485843194</v>
      </c>
      <c r="I192" s="28">
        <v>93.523229611004354</v>
      </c>
      <c r="J192" s="28">
        <v>90.119878040508468</v>
      </c>
      <c r="K192" s="28">
        <v>89.561063329841218</v>
      </c>
      <c r="L192" s="25">
        <v>92.71458640774307</v>
      </c>
    </row>
    <row r="193" spans="1:12" ht="20.25" customHeight="1">
      <c r="A193" s="791"/>
      <c r="B193" s="29" t="s">
        <v>187</v>
      </c>
      <c r="C193" s="26">
        <v>4</v>
      </c>
      <c r="D193" s="26">
        <v>122</v>
      </c>
      <c r="E193" s="26">
        <v>27</v>
      </c>
      <c r="F193" s="26">
        <v>25</v>
      </c>
      <c r="G193" s="16">
        <f t="shared" si="6"/>
        <v>91.570057953306446</v>
      </c>
      <c r="H193" s="28">
        <v>89.94308789383858</v>
      </c>
      <c r="I193" s="28">
        <v>90.163899620299048</v>
      </c>
      <c r="J193" s="28">
        <v>88.139798194591023</v>
      </c>
      <c r="K193" s="28">
        <v>92.121441351063794</v>
      </c>
      <c r="L193" s="25">
        <v>93.197028012774297</v>
      </c>
    </row>
    <row r="194" spans="1:12" ht="20.25" customHeight="1">
      <c r="A194" s="791"/>
      <c r="B194" s="29" t="s">
        <v>188</v>
      </c>
      <c r="C194" s="26">
        <v>4</v>
      </c>
      <c r="D194" s="26">
        <v>157</v>
      </c>
      <c r="E194" s="26">
        <v>50</v>
      </c>
      <c r="F194" s="26">
        <v>29</v>
      </c>
      <c r="G194" s="16">
        <f t="shared" si="6"/>
        <v>90.527102114434854</v>
      </c>
      <c r="H194" s="28">
        <v>88.988681224328062</v>
      </c>
      <c r="I194" s="28">
        <v>89.821092059227055</v>
      </c>
      <c r="J194" s="28">
        <v>89.626160504098337</v>
      </c>
      <c r="K194" s="28">
        <v>86.080887901569014</v>
      </c>
      <c r="L194" s="25">
        <v>92.06552300454166</v>
      </c>
    </row>
    <row r="195" spans="1:12" ht="20.25" customHeight="1">
      <c r="A195" s="791"/>
      <c r="B195" s="29" t="s">
        <v>189</v>
      </c>
      <c r="C195" s="26">
        <v>4</v>
      </c>
      <c r="D195" s="26">
        <v>90</v>
      </c>
      <c r="E195" s="26">
        <v>10</v>
      </c>
      <c r="F195" s="26">
        <v>20</v>
      </c>
      <c r="G195" s="16">
        <f t="shared" si="6"/>
        <v>92.486455788341345</v>
      </c>
      <c r="H195" s="28">
        <v>90.069000914707004</v>
      </c>
      <c r="I195" s="28">
        <v>92.108042208713343</v>
      </c>
      <c r="J195" s="28">
        <v>89.302409957397842</v>
      </c>
      <c r="K195" s="28">
        <v>85.841067641111067</v>
      </c>
      <c r="L195" s="25">
        <v>94.903910661975672</v>
      </c>
    </row>
    <row r="196" spans="1:12" ht="20.25" customHeight="1">
      <c r="A196" s="791"/>
      <c r="B196" s="29" t="s">
        <v>190</v>
      </c>
      <c r="C196" s="26">
        <v>4</v>
      </c>
      <c r="D196" s="26">
        <v>140</v>
      </c>
      <c r="E196" s="26">
        <v>40</v>
      </c>
      <c r="F196" s="26">
        <v>28</v>
      </c>
      <c r="G196" s="16">
        <f t="shared" si="6"/>
        <v>91.017395625881065</v>
      </c>
      <c r="H196" s="28">
        <v>90.481379416505234</v>
      </c>
      <c r="I196" s="28">
        <v>91.977936993726956</v>
      </c>
      <c r="J196" s="28">
        <v>88.544797773178573</v>
      </c>
      <c r="K196" s="28">
        <v>89.938642308445893</v>
      </c>
      <c r="L196" s="25">
        <v>91.553411835256895</v>
      </c>
    </row>
    <row r="197" spans="1:12" ht="20.25" customHeight="1">
      <c r="A197" s="791"/>
      <c r="B197" s="29" t="s">
        <v>191</v>
      </c>
      <c r="C197" s="26">
        <v>4</v>
      </c>
      <c r="D197" s="26">
        <v>59</v>
      </c>
      <c r="E197" s="26">
        <v>3</v>
      </c>
      <c r="F197" s="26">
        <v>17</v>
      </c>
      <c r="G197" s="16">
        <f t="shared" si="6"/>
        <v>93.323685860634754</v>
      </c>
      <c r="H197" s="28">
        <v>91.564878652022998</v>
      </c>
      <c r="I197" s="28">
        <v>92.167347831596018</v>
      </c>
      <c r="J197" s="28">
        <v>91.669355203807655</v>
      </c>
      <c r="K197" s="28">
        <v>89.64951025707137</v>
      </c>
      <c r="L197" s="25">
        <v>95.082493069246496</v>
      </c>
    </row>
    <row r="198" spans="1:12" ht="20.25" customHeight="1">
      <c r="A198" s="791"/>
      <c r="B198" s="29" t="s">
        <v>192</v>
      </c>
      <c r="C198" s="26">
        <v>4</v>
      </c>
      <c r="D198" s="26">
        <v>159</v>
      </c>
      <c r="E198" s="26">
        <v>51</v>
      </c>
      <c r="F198" s="26">
        <v>30</v>
      </c>
      <c r="G198" s="16">
        <f t="shared" si="6"/>
        <v>90.448265119189813</v>
      </c>
      <c r="H198" s="28">
        <v>89.313359865119196</v>
      </c>
      <c r="I198" s="28">
        <v>90.084103474100985</v>
      </c>
      <c r="J198" s="28">
        <v>88.322364506971795</v>
      </c>
      <c r="K198" s="28">
        <v>89.041230284406936</v>
      </c>
      <c r="L198" s="25">
        <v>91.58317037326043</v>
      </c>
    </row>
    <row r="199" spans="1:12" ht="20.25" customHeight="1">
      <c r="A199" s="791"/>
      <c r="B199" s="29" t="s">
        <v>193</v>
      </c>
      <c r="C199" s="26">
        <v>4</v>
      </c>
      <c r="D199" s="26">
        <v>78</v>
      </c>
      <c r="E199" s="26">
        <v>7</v>
      </c>
      <c r="F199" s="26">
        <v>19</v>
      </c>
      <c r="G199" s="16">
        <f t="shared" si="6"/>
        <v>92.811748489993704</v>
      </c>
      <c r="H199" s="28">
        <v>88.99288011000823</v>
      </c>
      <c r="I199" s="28">
        <v>89.631355440016094</v>
      </c>
      <c r="J199" s="28">
        <v>89.594700009563496</v>
      </c>
      <c r="K199" s="28">
        <v>86.214115934934156</v>
      </c>
      <c r="L199" s="25">
        <v>96.630616869979193</v>
      </c>
    </row>
    <row r="200" spans="1:12" ht="20.25" customHeight="1">
      <c r="A200" s="791"/>
      <c r="B200" s="29" t="s">
        <v>194</v>
      </c>
      <c r="C200" s="26">
        <v>5</v>
      </c>
      <c r="D200" s="26">
        <v>94</v>
      </c>
      <c r="E200" s="26">
        <v>84</v>
      </c>
      <c r="F200" s="26">
        <v>22</v>
      </c>
      <c r="G200" s="16">
        <f t="shared" si="6"/>
        <v>92.462220088636144</v>
      </c>
      <c r="H200" s="28">
        <v>89.202760004723189</v>
      </c>
      <c r="I200" s="28">
        <v>91.948094694119348</v>
      </c>
      <c r="J200" s="28">
        <v>87.811126319239122</v>
      </c>
      <c r="K200" s="28">
        <v>82.9559599335294</v>
      </c>
      <c r="L200" s="25">
        <v>95.7216801725491</v>
      </c>
    </row>
    <row r="201" spans="1:12" ht="20.25" customHeight="1">
      <c r="A201" s="791"/>
      <c r="B201" s="29" t="s">
        <v>195</v>
      </c>
      <c r="C201" s="26">
        <v>5</v>
      </c>
      <c r="D201" s="26">
        <v>10</v>
      </c>
      <c r="E201" s="26">
        <v>10</v>
      </c>
      <c r="F201" s="26">
        <v>3</v>
      </c>
      <c r="G201" s="16">
        <f t="shared" si="6"/>
        <v>94.942755667300588</v>
      </c>
      <c r="H201" s="28">
        <v>94.814033279605695</v>
      </c>
      <c r="I201" s="28">
        <v>96.049524918330278</v>
      </c>
      <c r="J201" s="28">
        <v>93.361282830593183</v>
      </c>
      <c r="K201" s="28">
        <v>94.441983822727238</v>
      </c>
      <c r="L201" s="25">
        <v>95.071478054995495</v>
      </c>
    </row>
    <row r="202" spans="1:12" ht="20.25" customHeight="1">
      <c r="A202" s="791"/>
      <c r="B202" s="29" t="s">
        <v>196</v>
      </c>
      <c r="C202" s="26">
        <v>5</v>
      </c>
      <c r="D202" s="26">
        <v>178</v>
      </c>
      <c r="E202" s="26">
        <v>114</v>
      </c>
      <c r="F202" s="26">
        <v>31</v>
      </c>
      <c r="G202" s="16">
        <f t="shared" si="6"/>
        <v>89.513515520136721</v>
      </c>
      <c r="H202" s="28">
        <v>89.513515520136721</v>
      </c>
      <c r="I202" s="28">
        <v>89.361382555465056</v>
      </c>
      <c r="J202" s="28">
        <v>90.179271891436358</v>
      </c>
      <c r="K202" s="28">
        <v>88.57499630285713</v>
      </c>
      <c r="L202" s="25" t="s">
        <v>52</v>
      </c>
    </row>
    <row r="203" spans="1:12" ht="20.25" customHeight="1">
      <c r="A203" s="791"/>
      <c r="B203" s="29" t="s">
        <v>197</v>
      </c>
      <c r="C203" s="26">
        <v>5</v>
      </c>
      <c r="D203" s="26">
        <v>93</v>
      </c>
      <c r="E203" s="26">
        <v>83</v>
      </c>
      <c r="F203" s="26">
        <v>21</v>
      </c>
      <c r="G203" s="16">
        <f t="shared" si="6"/>
        <v>92.466381988946608</v>
      </c>
      <c r="H203" s="28">
        <v>91.366236894540535</v>
      </c>
      <c r="I203" s="28">
        <v>92.688742842192298</v>
      </c>
      <c r="J203" s="28">
        <v>89.183595703974319</v>
      </c>
      <c r="K203" s="28">
        <v>92.183871752249985</v>
      </c>
      <c r="L203" s="25">
        <v>93.566527083352682</v>
      </c>
    </row>
    <row r="204" spans="1:12" ht="20.25" customHeight="1">
      <c r="A204" s="791"/>
      <c r="B204" s="29" t="s">
        <v>198</v>
      </c>
      <c r="C204" s="26">
        <v>5</v>
      </c>
      <c r="D204" s="26">
        <v>51</v>
      </c>
      <c r="E204" s="26">
        <v>50</v>
      </c>
      <c r="F204" s="26">
        <v>14</v>
      </c>
      <c r="G204" s="16">
        <f t="shared" si="6"/>
        <v>93.542410780619235</v>
      </c>
      <c r="H204" s="28">
        <v>91.154843853948321</v>
      </c>
      <c r="I204" s="28">
        <v>91.031565457011993</v>
      </c>
      <c r="J204" s="28">
        <v>91.194405629789244</v>
      </c>
      <c r="K204" s="28">
        <v>91.474408414090874</v>
      </c>
      <c r="L204" s="25">
        <v>95.929977707290163</v>
      </c>
    </row>
    <row r="205" spans="1:12" ht="20.25" customHeight="1">
      <c r="A205" s="791"/>
      <c r="B205" s="29" t="s">
        <v>199</v>
      </c>
      <c r="C205" s="26">
        <v>5</v>
      </c>
      <c r="D205" s="26">
        <v>37</v>
      </c>
      <c r="E205" s="26">
        <v>37</v>
      </c>
      <c r="F205" s="26">
        <v>9</v>
      </c>
      <c r="G205" s="16">
        <f t="shared" si="6"/>
        <v>93.877225387591352</v>
      </c>
      <c r="H205" s="28">
        <v>93.190797553629096</v>
      </c>
      <c r="I205" s="28">
        <v>93.276293930135381</v>
      </c>
      <c r="J205" s="28">
        <v>92.605043179489783</v>
      </c>
      <c r="K205" s="28">
        <v>94.348032546624964</v>
      </c>
      <c r="L205" s="25">
        <v>94.563653221553594</v>
      </c>
    </row>
    <row r="206" spans="1:12" ht="20.25" customHeight="1">
      <c r="A206" s="791"/>
      <c r="B206" s="29" t="s">
        <v>200</v>
      </c>
      <c r="C206" s="26">
        <v>5</v>
      </c>
      <c r="D206" s="26">
        <v>24</v>
      </c>
      <c r="E206" s="26">
        <v>24</v>
      </c>
      <c r="F206" s="26">
        <v>7</v>
      </c>
      <c r="G206" s="16">
        <f t="shared" si="6"/>
        <v>94.292818876675341</v>
      </c>
      <c r="H206" s="28">
        <v>92.159731998944409</v>
      </c>
      <c r="I206" s="28">
        <v>95.207297588030315</v>
      </c>
      <c r="J206" s="28">
        <v>88.399135252268493</v>
      </c>
      <c r="K206" s="28">
        <v>92.28859169499998</v>
      </c>
      <c r="L206" s="25">
        <v>96.425905754406287</v>
      </c>
    </row>
    <row r="207" spans="1:12" ht="20.25" customHeight="1">
      <c r="A207" s="791"/>
      <c r="B207" s="29" t="s">
        <v>201</v>
      </c>
      <c r="C207" s="26">
        <v>5</v>
      </c>
      <c r="D207" s="26">
        <v>55</v>
      </c>
      <c r="E207" s="26">
        <v>53</v>
      </c>
      <c r="F207" s="26">
        <v>16</v>
      </c>
      <c r="G207" s="16">
        <f t="shared" si="6"/>
        <v>93.448220580385382</v>
      </c>
      <c r="H207" s="28">
        <v>91.945930287248459</v>
      </c>
      <c r="I207" s="28">
        <v>93.456448295076171</v>
      </c>
      <c r="J207" s="28">
        <v>91.768469588367324</v>
      </c>
      <c r="K207" s="28">
        <v>87.142204717916627</v>
      </c>
      <c r="L207" s="25">
        <v>94.950510873522305</v>
      </c>
    </row>
    <row r="208" spans="1:12" ht="20.25" customHeight="1">
      <c r="A208" s="791"/>
      <c r="B208" s="29" t="s">
        <v>202</v>
      </c>
      <c r="C208" s="26">
        <v>5</v>
      </c>
      <c r="D208" s="26">
        <v>42</v>
      </c>
      <c r="E208" s="26">
        <v>42</v>
      </c>
      <c r="F208" s="26">
        <v>10</v>
      </c>
      <c r="G208" s="16">
        <f t="shared" si="6"/>
        <v>93.734607283671124</v>
      </c>
      <c r="H208" s="28">
        <v>91.65481576583332</v>
      </c>
      <c r="I208" s="28">
        <v>91.83433172935348</v>
      </c>
      <c r="J208" s="28">
        <v>91.829083062092991</v>
      </c>
      <c r="K208" s="28">
        <v>90.535727039374962</v>
      </c>
      <c r="L208" s="25">
        <v>95.814398801508929</v>
      </c>
    </row>
    <row r="209" spans="1:12" ht="20.25" customHeight="1">
      <c r="A209" s="791"/>
      <c r="B209" s="29" t="s">
        <v>203</v>
      </c>
      <c r="C209" s="26">
        <v>5</v>
      </c>
      <c r="D209" s="26">
        <v>44</v>
      </c>
      <c r="E209" s="26">
        <v>44</v>
      </c>
      <c r="F209" s="26">
        <v>11</v>
      </c>
      <c r="G209" s="16">
        <f t="shared" si="6"/>
        <v>93.699006759018118</v>
      </c>
      <c r="H209" s="28">
        <v>91.805104088688012</v>
      </c>
      <c r="I209" s="28">
        <v>90.400432993548392</v>
      </c>
      <c r="J209" s="28">
        <v>93.300871148236382</v>
      </c>
      <c r="K209" s="28">
        <v>93.467315284999984</v>
      </c>
      <c r="L209" s="25">
        <v>95.592909429348211</v>
      </c>
    </row>
    <row r="210" spans="1:12" ht="20.25" customHeight="1">
      <c r="A210" s="791"/>
      <c r="B210" s="29" t="s">
        <v>204</v>
      </c>
      <c r="C210" s="26">
        <v>5</v>
      </c>
      <c r="D210" s="26">
        <v>31</v>
      </c>
      <c r="E210" s="26">
        <v>31</v>
      </c>
      <c r="F210" s="26">
        <v>8</v>
      </c>
      <c r="G210" s="16">
        <f t="shared" si="6"/>
        <v>94.063931537193994</v>
      </c>
      <c r="H210" s="28">
        <v>91.428787188521895</v>
      </c>
      <c r="I210" s="28">
        <v>92.853588981214287</v>
      </c>
      <c r="J210" s="28">
        <v>88.579013137748902</v>
      </c>
      <c r="K210" s="28">
        <v>96.558857782999993</v>
      </c>
      <c r="L210" s="25">
        <v>96.699075885866094</v>
      </c>
    </row>
    <row r="211" spans="1:12" ht="20.25" customHeight="1">
      <c r="A211" s="791"/>
      <c r="B211" s="29" t="s">
        <v>205</v>
      </c>
      <c r="C211" s="26">
        <v>5</v>
      </c>
      <c r="D211" s="26">
        <v>75</v>
      </c>
      <c r="E211" s="26">
        <v>70</v>
      </c>
      <c r="F211" s="26">
        <v>18</v>
      </c>
      <c r="G211" s="16">
        <f t="shared" si="6"/>
        <v>92.937319471400457</v>
      </c>
      <c r="H211" s="28">
        <v>91.119461742854511</v>
      </c>
      <c r="I211" s="28">
        <v>92.312094358347466</v>
      </c>
      <c r="J211" s="28">
        <v>90.291081059103746</v>
      </c>
      <c r="K211" s="28">
        <v>89.916682284886321</v>
      </c>
      <c r="L211" s="25">
        <v>94.755177199946402</v>
      </c>
    </row>
    <row r="212" spans="1:12" ht="20.25" customHeight="1">
      <c r="A212" s="791"/>
      <c r="B212" s="29" t="s">
        <v>206</v>
      </c>
      <c r="C212" s="26">
        <v>5</v>
      </c>
      <c r="D212" s="26">
        <v>20</v>
      </c>
      <c r="E212" s="26">
        <v>20</v>
      </c>
      <c r="F212" s="26">
        <v>6</v>
      </c>
      <c r="G212" s="16">
        <f t="shared" si="6"/>
        <v>94.438719309750127</v>
      </c>
      <c r="H212" s="28">
        <v>92.807624903410982</v>
      </c>
      <c r="I212" s="28">
        <v>95.061823213552614</v>
      </c>
      <c r="J212" s="28">
        <v>89.409918453611098</v>
      </c>
      <c r="K212" s="28">
        <v>94.333092813593737</v>
      </c>
      <c r="L212" s="25">
        <v>96.069813716089286</v>
      </c>
    </row>
    <row r="213" spans="1:12" ht="20.25" customHeight="1">
      <c r="A213" s="791"/>
      <c r="B213" s="29" t="s">
        <v>207</v>
      </c>
      <c r="C213" s="26">
        <v>5</v>
      </c>
      <c r="D213" s="26">
        <v>6</v>
      </c>
      <c r="E213" s="26">
        <v>6</v>
      </c>
      <c r="F213" s="26">
        <v>2</v>
      </c>
      <c r="G213" s="16">
        <f t="shared" si="6"/>
        <v>95.401219648133747</v>
      </c>
      <c r="H213" s="28">
        <v>92.266068522079991</v>
      </c>
      <c r="I213" s="28">
        <v>93.572390655833317</v>
      </c>
      <c r="J213" s="28">
        <v>89.444395588641285</v>
      </c>
      <c r="K213" s="28">
        <v>94.972259412236824</v>
      </c>
      <c r="L213" s="25">
        <v>98.536370774187489</v>
      </c>
    </row>
    <row r="214" spans="1:12" ht="20.25" customHeight="1">
      <c r="A214" s="791"/>
      <c r="B214" s="29" t="s">
        <v>208</v>
      </c>
      <c r="C214" s="26">
        <v>5</v>
      </c>
      <c r="D214" s="26">
        <v>46</v>
      </c>
      <c r="E214" s="26">
        <v>46</v>
      </c>
      <c r="F214" s="26">
        <v>12</v>
      </c>
      <c r="G214" s="16">
        <f t="shared" si="6"/>
        <v>93.648575354320911</v>
      </c>
      <c r="H214" s="28">
        <v>90.698777952579306</v>
      </c>
      <c r="I214" s="28">
        <v>90.433700629461114</v>
      </c>
      <c r="J214" s="28">
        <v>92.139628875951658</v>
      </c>
      <c r="K214" s="28">
        <v>86.105676488636362</v>
      </c>
      <c r="L214" s="25">
        <v>96.598372756062531</v>
      </c>
    </row>
    <row r="215" spans="1:12" ht="20.25" customHeight="1">
      <c r="A215" s="791"/>
      <c r="B215" s="29" t="s">
        <v>209</v>
      </c>
      <c r="C215" s="26">
        <v>5</v>
      </c>
      <c r="D215" s="26">
        <v>15</v>
      </c>
      <c r="E215" s="26">
        <v>15</v>
      </c>
      <c r="F215" s="26">
        <v>4</v>
      </c>
      <c r="G215" s="16">
        <f t="shared" si="6"/>
        <v>94.532403235378922</v>
      </c>
      <c r="H215" s="28">
        <v>93.600095411860508</v>
      </c>
      <c r="I215" s="28">
        <v>96.167199749808617</v>
      </c>
      <c r="J215" s="28">
        <v>92.042579454886337</v>
      </c>
      <c r="K215" s="28">
        <v>88.872957206323534</v>
      </c>
      <c r="L215" s="25">
        <v>95.464711058897322</v>
      </c>
    </row>
    <row r="216" spans="1:12" ht="20.25" customHeight="1">
      <c r="A216" s="791"/>
      <c r="B216" s="29" t="s">
        <v>210</v>
      </c>
      <c r="C216" s="26">
        <v>5</v>
      </c>
      <c r="D216" s="26">
        <v>102</v>
      </c>
      <c r="E216" s="26">
        <v>88</v>
      </c>
      <c r="F216" s="26">
        <v>23</v>
      </c>
      <c r="G216" s="16">
        <f t="shared" si="6"/>
        <v>92.217596147519387</v>
      </c>
      <c r="H216" s="28">
        <v>91.101899165654814</v>
      </c>
      <c r="I216" s="28">
        <v>92.135432097280685</v>
      </c>
      <c r="J216" s="28">
        <v>88.451568419363852</v>
      </c>
      <c r="K216" s="28">
        <v>99.723828662857144</v>
      </c>
      <c r="L216" s="25">
        <v>93.333293129383961</v>
      </c>
    </row>
    <row r="217" spans="1:12" ht="20.25" customHeight="1">
      <c r="A217" s="791"/>
      <c r="B217" s="29" t="s">
        <v>211</v>
      </c>
      <c r="C217" s="26">
        <v>5</v>
      </c>
      <c r="D217" s="26">
        <v>4</v>
      </c>
      <c r="E217" s="26">
        <v>4</v>
      </c>
      <c r="F217" s="26">
        <v>1</v>
      </c>
      <c r="G217" s="16">
        <f t="shared" si="6"/>
        <v>95.773496655748716</v>
      </c>
      <c r="H217" s="28">
        <v>94.571460595042083</v>
      </c>
      <c r="I217" s="28">
        <v>96.711589331153064</v>
      </c>
      <c r="J217" s="28">
        <v>92.576960487999969</v>
      </c>
      <c r="K217" s="28">
        <v>90.390409963750002</v>
      </c>
      <c r="L217" s="25">
        <v>96.975532716455362</v>
      </c>
    </row>
    <row r="218" spans="1:12" ht="20.25" customHeight="1">
      <c r="A218" s="791"/>
      <c r="B218" s="29" t="s">
        <v>212</v>
      </c>
      <c r="C218" s="26">
        <v>5</v>
      </c>
      <c r="D218" s="26">
        <v>19</v>
      </c>
      <c r="E218" s="26">
        <v>19</v>
      </c>
      <c r="F218" s="26">
        <v>5</v>
      </c>
      <c r="G218" s="16">
        <f t="shared" si="6"/>
        <v>94.489063874791526</v>
      </c>
      <c r="H218" s="28">
        <v>93.580911800627661</v>
      </c>
      <c r="I218" s="28">
        <v>95.650606835931484</v>
      </c>
      <c r="J218" s="28">
        <v>90.23628284255949</v>
      </c>
      <c r="K218" s="28">
        <v>95.375342071406237</v>
      </c>
      <c r="L218" s="25">
        <v>95.397215948955377</v>
      </c>
    </row>
    <row r="219" spans="1:12" ht="20.25" customHeight="1" thickBot="1">
      <c r="A219" s="787"/>
      <c r="B219" s="35" t="s">
        <v>213</v>
      </c>
      <c r="C219" s="27">
        <v>5</v>
      </c>
      <c r="D219" s="27">
        <v>133</v>
      </c>
      <c r="E219" s="27">
        <v>99</v>
      </c>
      <c r="F219" s="27">
        <v>27</v>
      </c>
      <c r="G219" s="36">
        <f t="shared" si="6"/>
        <v>91.275301259740218</v>
      </c>
      <c r="H219" s="37">
        <v>91.386914562681326</v>
      </c>
      <c r="I219" s="37">
        <v>92.567488116523805</v>
      </c>
      <c r="J219" s="37">
        <v>90.11347607499998</v>
      </c>
      <c r="K219" s="37">
        <v>91.537297923333327</v>
      </c>
      <c r="L219" s="38">
        <v>91.163687956799109</v>
      </c>
    </row>
    <row r="220" spans="1:12" s="41" customFormat="1" ht="20.25" customHeight="1" thickBot="1"/>
    <row r="221" spans="1:12" ht="20.25" customHeight="1">
      <c r="A221" s="788" t="s">
        <v>38</v>
      </c>
      <c r="B221" s="778" t="s">
        <v>39</v>
      </c>
      <c r="C221" s="778" t="s">
        <v>40</v>
      </c>
      <c r="D221" s="778" t="s">
        <v>41</v>
      </c>
      <c r="E221" s="778" t="s">
        <v>42</v>
      </c>
      <c r="F221" s="778" t="s">
        <v>43</v>
      </c>
      <c r="G221" s="778" t="s">
        <v>37</v>
      </c>
      <c r="H221" s="781" t="s">
        <v>44</v>
      </c>
      <c r="I221" s="782"/>
      <c r="J221" s="782"/>
      <c r="K221" s="783"/>
      <c r="L221" s="784" t="s">
        <v>45</v>
      </c>
    </row>
    <row r="222" spans="1:12" ht="20.25" customHeight="1">
      <c r="A222" s="789"/>
      <c r="B222" s="779"/>
      <c r="C222" s="779"/>
      <c r="D222" s="779"/>
      <c r="E222" s="779"/>
      <c r="F222" s="779"/>
      <c r="G222" s="780"/>
      <c r="H222" s="12" t="s">
        <v>46</v>
      </c>
      <c r="I222" s="12" t="s">
        <v>47</v>
      </c>
      <c r="J222" s="12" t="s">
        <v>48</v>
      </c>
      <c r="K222" s="12" t="s">
        <v>49</v>
      </c>
      <c r="L222" s="785"/>
    </row>
    <row r="223" spans="1:12" ht="20.25" customHeight="1">
      <c r="A223" s="790"/>
      <c r="B223" s="780"/>
      <c r="C223" s="780"/>
      <c r="D223" s="780"/>
      <c r="E223" s="780"/>
      <c r="F223" s="780"/>
      <c r="G223" s="12" t="s">
        <v>50</v>
      </c>
      <c r="H223" s="12" t="s">
        <v>50</v>
      </c>
      <c r="I223" s="12" t="s">
        <v>50</v>
      </c>
      <c r="J223" s="12" t="s">
        <v>50</v>
      </c>
      <c r="K223" s="12" t="s">
        <v>50</v>
      </c>
      <c r="L223" s="13" t="s">
        <v>50</v>
      </c>
    </row>
    <row r="224" spans="1:12" ht="20.25" customHeight="1">
      <c r="A224" s="14" t="s">
        <v>51</v>
      </c>
      <c r="B224" s="15" t="s">
        <v>52</v>
      </c>
      <c r="C224" s="15" t="s">
        <v>52</v>
      </c>
      <c r="D224" s="15" t="s">
        <v>52</v>
      </c>
      <c r="E224" s="15" t="s">
        <v>52</v>
      </c>
      <c r="F224" s="15" t="s">
        <v>52</v>
      </c>
      <c r="G224" s="16">
        <v>92.098552413020641</v>
      </c>
      <c r="H224" s="28">
        <v>89.726104924830423</v>
      </c>
      <c r="I224" s="28">
        <v>91.044967995679499</v>
      </c>
      <c r="J224" s="28">
        <v>87.956991377141094</v>
      </c>
      <c r="K224" s="28">
        <v>89.623186357837298</v>
      </c>
      <c r="L224" s="25">
        <v>94.346113441277225</v>
      </c>
    </row>
    <row r="225" spans="1:12" ht="20.25" customHeight="1">
      <c r="A225" s="786" t="s">
        <v>214</v>
      </c>
      <c r="B225" s="29" t="s">
        <v>215</v>
      </c>
      <c r="C225" s="26">
        <v>4</v>
      </c>
      <c r="D225" s="26">
        <v>177</v>
      </c>
      <c r="E225" s="26">
        <v>64</v>
      </c>
      <c r="F225" s="26">
        <v>14</v>
      </c>
      <c r="G225" s="16">
        <f>AVERAGE(H225,L225)</f>
        <v>89.611773706482339</v>
      </c>
      <c r="H225" s="28">
        <v>88.274634856499375</v>
      </c>
      <c r="I225" s="28">
        <v>90.273998984047608</v>
      </c>
      <c r="J225" s="28">
        <v>85.628573715220114</v>
      </c>
      <c r="K225" s="28">
        <v>87.812329351249971</v>
      </c>
      <c r="L225" s="25">
        <v>90.948912556465302</v>
      </c>
    </row>
    <row r="226" spans="1:12" ht="20.25" customHeight="1">
      <c r="A226" s="791"/>
      <c r="B226" s="29" t="s">
        <v>216</v>
      </c>
      <c r="C226" s="26">
        <v>4</v>
      </c>
      <c r="D226" s="26">
        <v>192</v>
      </c>
      <c r="E226" s="26">
        <v>74</v>
      </c>
      <c r="F226" s="26">
        <v>15</v>
      </c>
      <c r="G226" s="16">
        <f t="shared" ref="G226:G238" si="7">AVERAGE(H226,L226)</f>
        <v>89.06058130831147</v>
      </c>
      <c r="H226" s="28">
        <v>86.967149683171542</v>
      </c>
      <c r="I226" s="28">
        <v>87.536783717921153</v>
      </c>
      <c r="J226" s="28">
        <v>86.970199691161454</v>
      </c>
      <c r="K226" s="28">
        <v>85.576524990878355</v>
      </c>
      <c r="L226" s="25">
        <v>91.154012933451384</v>
      </c>
    </row>
    <row r="227" spans="1:12" ht="20.25" customHeight="1">
      <c r="A227" s="791"/>
      <c r="B227" s="29" t="s">
        <v>217</v>
      </c>
      <c r="C227" s="26">
        <v>4</v>
      </c>
      <c r="D227" s="26">
        <v>89</v>
      </c>
      <c r="E227" s="26">
        <v>9</v>
      </c>
      <c r="F227" s="26">
        <v>8</v>
      </c>
      <c r="G227" s="16">
        <f t="shared" si="7"/>
        <v>92.497950031196822</v>
      </c>
      <c r="H227" s="28">
        <v>90.242430162181833</v>
      </c>
      <c r="I227" s="28">
        <v>92.341885956568632</v>
      </c>
      <c r="J227" s="28">
        <v>89.209734244054033</v>
      </c>
      <c r="K227" s="28">
        <v>87.112316682954514</v>
      </c>
      <c r="L227" s="25">
        <v>94.753469900211812</v>
      </c>
    </row>
    <row r="228" spans="1:12" ht="20.25" customHeight="1">
      <c r="A228" s="791"/>
      <c r="B228" s="29" t="s">
        <v>218</v>
      </c>
      <c r="C228" s="26">
        <v>4</v>
      </c>
      <c r="D228" s="26">
        <v>124</v>
      </c>
      <c r="E228" s="26">
        <v>29</v>
      </c>
      <c r="F228" s="26">
        <v>12</v>
      </c>
      <c r="G228" s="16">
        <f t="shared" si="7"/>
        <v>91.535036808034135</v>
      </c>
      <c r="H228" s="28">
        <v>89.560284770210671</v>
      </c>
      <c r="I228" s="28">
        <v>90.995198861981365</v>
      </c>
      <c r="J228" s="28">
        <v>86.864301895695633</v>
      </c>
      <c r="K228" s="28">
        <v>90.231281765306065</v>
      </c>
      <c r="L228" s="25">
        <v>93.509788845857614</v>
      </c>
    </row>
    <row r="229" spans="1:12" ht="20.25" customHeight="1">
      <c r="A229" s="791"/>
      <c r="B229" s="29" t="s">
        <v>219</v>
      </c>
      <c r="C229" s="26">
        <v>4</v>
      </c>
      <c r="D229" s="26">
        <v>115</v>
      </c>
      <c r="E229" s="26">
        <v>22</v>
      </c>
      <c r="F229" s="26">
        <v>11</v>
      </c>
      <c r="G229" s="16">
        <f t="shared" si="7"/>
        <v>91.807842668731169</v>
      </c>
      <c r="H229" s="28">
        <v>89.025165831250504</v>
      </c>
      <c r="I229" s="28">
        <v>89.373439688100007</v>
      </c>
      <c r="J229" s="28">
        <v>86.92251505439512</v>
      </c>
      <c r="K229" s="28">
        <v>91.876049887352906</v>
      </c>
      <c r="L229" s="25">
        <v>94.590519506211834</v>
      </c>
    </row>
    <row r="230" spans="1:12" ht="20.25" customHeight="1">
      <c r="A230" s="791"/>
      <c r="B230" s="29" t="s">
        <v>220</v>
      </c>
      <c r="C230" s="26">
        <v>5</v>
      </c>
      <c r="D230" s="26">
        <v>50</v>
      </c>
      <c r="E230" s="26">
        <v>49</v>
      </c>
      <c r="F230" s="26">
        <v>2</v>
      </c>
      <c r="G230" s="16">
        <f t="shared" si="7"/>
        <v>93.545360139027579</v>
      </c>
      <c r="H230" s="28">
        <v>91.458223829175665</v>
      </c>
      <c r="I230" s="28">
        <v>92.58813262004108</v>
      </c>
      <c r="J230" s="28">
        <v>91.35441342226413</v>
      </c>
      <c r="K230" s="28">
        <v>87.95906973068179</v>
      </c>
      <c r="L230" s="25">
        <v>95.632496448879493</v>
      </c>
    </row>
    <row r="231" spans="1:12" ht="20.25" customHeight="1">
      <c r="A231" s="791"/>
      <c r="B231" s="29" t="s">
        <v>221</v>
      </c>
      <c r="C231" s="26">
        <v>5</v>
      </c>
      <c r="D231" s="26">
        <v>83</v>
      </c>
      <c r="E231" s="26">
        <v>75</v>
      </c>
      <c r="F231" s="26">
        <v>7</v>
      </c>
      <c r="G231" s="16">
        <f t="shared" si="7"/>
        <v>92.647365489213684</v>
      </c>
      <c r="H231" s="28">
        <v>90.599579762529999</v>
      </c>
      <c r="I231" s="28">
        <v>91.608739141769732</v>
      </c>
      <c r="J231" s="28">
        <v>89.49881185229593</v>
      </c>
      <c r="K231" s="28">
        <v>89.689240353699986</v>
      </c>
      <c r="L231" s="25">
        <v>94.695151215897369</v>
      </c>
    </row>
    <row r="232" spans="1:12" ht="20.25" customHeight="1">
      <c r="A232" s="791"/>
      <c r="B232" s="29" t="s">
        <v>222</v>
      </c>
      <c r="C232" s="26">
        <v>5</v>
      </c>
      <c r="D232" s="26">
        <v>108</v>
      </c>
      <c r="E232" s="26">
        <v>90</v>
      </c>
      <c r="F232" s="26">
        <v>10</v>
      </c>
      <c r="G232" s="16">
        <f t="shared" si="7"/>
        <v>92.004867726776695</v>
      </c>
      <c r="H232" s="28">
        <v>90.9027261869239</v>
      </c>
      <c r="I232" s="28">
        <v>90.067928339412703</v>
      </c>
      <c r="J232" s="28">
        <v>90.159927414134572</v>
      </c>
      <c r="K232" s="28">
        <v>94.868717516413</v>
      </c>
      <c r="L232" s="25">
        <v>93.10700926662949</v>
      </c>
    </row>
    <row r="233" spans="1:12" ht="20.25" customHeight="1">
      <c r="A233" s="791"/>
      <c r="B233" s="29" t="s">
        <v>223</v>
      </c>
      <c r="C233" s="26">
        <v>5</v>
      </c>
      <c r="D233" s="26">
        <v>69</v>
      </c>
      <c r="E233" s="26">
        <v>65</v>
      </c>
      <c r="F233" s="26">
        <v>6</v>
      </c>
      <c r="G233" s="16">
        <f t="shared" si="7"/>
        <v>93.084702223884904</v>
      </c>
      <c r="H233" s="28">
        <v>90.670201613501945</v>
      </c>
      <c r="I233" s="28">
        <v>92.254802582559265</v>
      </c>
      <c r="J233" s="28">
        <v>88.052986209999986</v>
      </c>
      <c r="K233" s="28">
        <v>94.149429416071413</v>
      </c>
      <c r="L233" s="25">
        <v>95.499202834267848</v>
      </c>
    </row>
    <row r="234" spans="1:12" ht="20.25" customHeight="1">
      <c r="A234" s="791"/>
      <c r="B234" s="29" t="s">
        <v>224</v>
      </c>
      <c r="C234" s="26">
        <v>5</v>
      </c>
      <c r="D234" s="26">
        <v>66</v>
      </c>
      <c r="E234" s="26">
        <v>62</v>
      </c>
      <c r="F234" s="26">
        <v>5</v>
      </c>
      <c r="G234" s="16">
        <f t="shared" si="7"/>
        <v>93.201083064049271</v>
      </c>
      <c r="H234" s="28">
        <v>90.491755349317302</v>
      </c>
      <c r="I234" s="28">
        <v>92.487895573260332</v>
      </c>
      <c r="J234" s="28">
        <v>87.989167642197842</v>
      </c>
      <c r="K234" s="28">
        <v>90.607098427187466</v>
      </c>
      <c r="L234" s="25">
        <v>95.910410778781241</v>
      </c>
    </row>
    <row r="235" spans="1:12" ht="20.25" customHeight="1">
      <c r="A235" s="791"/>
      <c r="B235" s="29" t="s">
        <v>225</v>
      </c>
      <c r="C235" s="26">
        <v>5</v>
      </c>
      <c r="D235" s="26">
        <v>92</v>
      </c>
      <c r="E235" s="26">
        <v>82</v>
      </c>
      <c r="F235" s="26">
        <v>9</v>
      </c>
      <c r="G235" s="16">
        <f t="shared" si="7"/>
        <v>92.474523936216514</v>
      </c>
      <c r="H235" s="28">
        <v>89.412125566741025</v>
      </c>
      <c r="I235" s="28">
        <v>92.101947450432775</v>
      </c>
      <c r="J235" s="28">
        <v>85.107219825965089</v>
      </c>
      <c r="K235" s="28">
        <v>93.028254588392841</v>
      </c>
      <c r="L235" s="25">
        <v>95.536922305691988</v>
      </c>
    </row>
    <row r="236" spans="1:12" ht="20.25" customHeight="1">
      <c r="A236" s="791"/>
      <c r="B236" s="29" t="s">
        <v>226</v>
      </c>
      <c r="C236" s="26">
        <v>5</v>
      </c>
      <c r="D236" s="26">
        <v>48</v>
      </c>
      <c r="E236" s="26">
        <v>47</v>
      </c>
      <c r="F236" s="26">
        <v>1</v>
      </c>
      <c r="G236" s="16">
        <f t="shared" si="7"/>
        <v>93.575722514387664</v>
      </c>
      <c r="H236" s="28">
        <v>90.326689274074411</v>
      </c>
      <c r="I236" s="28">
        <v>92.485427070246558</v>
      </c>
      <c r="J236" s="28">
        <v>86.9074044798936</v>
      </c>
      <c r="K236" s="28">
        <v>92.101668931499972</v>
      </c>
      <c r="L236" s="25">
        <v>96.824755754700917</v>
      </c>
    </row>
    <row r="237" spans="1:12" ht="20.25" customHeight="1">
      <c r="A237" s="791"/>
      <c r="B237" s="29" t="s">
        <v>227</v>
      </c>
      <c r="C237" s="26">
        <v>5</v>
      </c>
      <c r="D237" s="26">
        <v>61</v>
      </c>
      <c r="E237" s="26">
        <v>58</v>
      </c>
      <c r="F237" s="26">
        <v>4</v>
      </c>
      <c r="G237" s="16">
        <f t="shared" si="7"/>
        <v>93.282616724438213</v>
      </c>
      <c r="H237" s="28">
        <v>91.597952639349657</v>
      </c>
      <c r="I237" s="28">
        <v>91.926677788363762</v>
      </c>
      <c r="J237" s="28">
        <v>90.628907562755089</v>
      </c>
      <c r="K237" s="28">
        <v>92.778960899880914</v>
      </c>
      <c r="L237" s="25">
        <v>94.96728080952677</v>
      </c>
    </row>
    <row r="238" spans="1:12" ht="20.25" customHeight="1">
      <c r="A238" s="791"/>
      <c r="B238" s="29" t="s">
        <v>228</v>
      </c>
      <c r="C238" s="26">
        <v>5</v>
      </c>
      <c r="D238" s="26">
        <v>60</v>
      </c>
      <c r="E238" s="26">
        <v>57</v>
      </c>
      <c r="F238" s="26">
        <v>3</v>
      </c>
      <c r="G238" s="16">
        <f t="shared" si="7"/>
        <v>93.303541836668302</v>
      </c>
      <c r="H238" s="28">
        <v>90.400850354599953</v>
      </c>
      <c r="I238" s="28">
        <v>90.381235913624977</v>
      </c>
      <c r="J238" s="28">
        <v>87.733578619345224</v>
      </c>
      <c r="K238" s="28">
        <v>97.466185592812465</v>
      </c>
      <c r="L238" s="25">
        <v>96.206233318736651</v>
      </c>
    </row>
    <row r="239" spans="1:12" ht="20.25" customHeight="1" thickBot="1">
      <c r="A239" s="787"/>
      <c r="B239" s="35" t="s">
        <v>229</v>
      </c>
      <c r="C239" s="27">
        <v>5</v>
      </c>
      <c r="D239" s="27">
        <v>139</v>
      </c>
      <c r="E239" s="27">
        <v>100</v>
      </c>
      <c r="F239" s="27">
        <v>13</v>
      </c>
      <c r="G239" s="36">
        <f>AVERAGE(H239,L239)</f>
        <v>91.021391343643003</v>
      </c>
      <c r="H239" s="37">
        <v>88.251857982241333</v>
      </c>
      <c r="I239" s="37">
        <v>91.289112684742662</v>
      </c>
      <c r="J239" s="37">
        <v>87.403220706666673</v>
      </c>
      <c r="K239" s="37">
        <v>81.264601160978245</v>
      </c>
      <c r="L239" s="38">
        <v>93.790924705044674</v>
      </c>
    </row>
    <row r="240" spans="1:12" ht="19.5" customHeight="1" thickBot="1"/>
    <row r="241" spans="1:12" ht="20.25" customHeight="1">
      <c r="A241" s="788" t="s">
        <v>38</v>
      </c>
      <c r="B241" s="778" t="s">
        <v>39</v>
      </c>
      <c r="C241" s="778" t="s">
        <v>40</v>
      </c>
      <c r="D241" s="778" t="s">
        <v>41</v>
      </c>
      <c r="E241" s="778" t="s">
        <v>42</v>
      </c>
      <c r="F241" s="778" t="s">
        <v>43</v>
      </c>
      <c r="G241" s="778" t="s">
        <v>37</v>
      </c>
      <c r="H241" s="781" t="s">
        <v>44</v>
      </c>
      <c r="I241" s="782"/>
      <c r="J241" s="782"/>
      <c r="K241" s="783"/>
      <c r="L241" s="784" t="s">
        <v>45</v>
      </c>
    </row>
    <row r="242" spans="1:12" ht="20.25" customHeight="1">
      <c r="A242" s="789"/>
      <c r="B242" s="779"/>
      <c r="C242" s="779"/>
      <c r="D242" s="779"/>
      <c r="E242" s="779"/>
      <c r="F242" s="779"/>
      <c r="G242" s="780"/>
      <c r="H242" s="12" t="s">
        <v>46</v>
      </c>
      <c r="I242" s="12" t="s">
        <v>47</v>
      </c>
      <c r="J242" s="12" t="s">
        <v>48</v>
      </c>
      <c r="K242" s="12" t="s">
        <v>49</v>
      </c>
      <c r="L242" s="785"/>
    </row>
    <row r="243" spans="1:12" ht="20.25" customHeight="1">
      <c r="A243" s="790"/>
      <c r="B243" s="780"/>
      <c r="C243" s="780"/>
      <c r="D243" s="780"/>
      <c r="E243" s="780"/>
      <c r="F243" s="780"/>
      <c r="G243" s="12" t="s">
        <v>50</v>
      </c>
      <c r="H243" s="12" t="s">
        <v>50</v>
      </c>
      <c r="I243" s="12" t="s">
        <v>50</v>
      </c>
      <c r="J243" s="12" t="s">
        <v>50</v>
      </c>
      <c r="K243" s="12" t="s">
        <v>50</v>
      </c>
      <c r="L243" s="13" t="s">
        <v>50</v>
      </c>
    </row>
    <row r="244" spans="1:12" ht="20.25" customHeight="1">
      <c r="A244" s="14" t="s">
        <v>51</v>
      </c>
      <c r="B244" s="15" t="s">
        <v>52</v>
      </c>
      <c r="C244" s="15" t="s">
        <v>52</v>
      </c>
      <c r="D244" s="15" t="s">
        <v>52</v>
      </c>
      <c r="E244" s="15" t="s">
        <v>52</v>
      </c>
      <c r="F244" s="15" t="s">
        <v>52</v>
      </c>
      <c r="G244" s="16">
        <v>92.856139638390545</v>
      </c>
      <c r="H244" s="28">
        <v>90.016343480791832</v>
      </c>
      <c r="I244" s="28">
        <v>90.743859371936097</v>
      </c>
      <c r="J244" s="28">
        <v>88.860770382010131</v>
      </c>
      <c r="K244" s="28">
        <v>90.440983116434978</v>
      </c>
      <c r="L244" s="25">
        <v>95.401179103985115</v>
      </c>
    </row>
    <row r="245" spans="1:12" ht="20.25" customHeight="1">
      <c r="A245" s="786" t="s">
        <v>230</v>
      </c>
      <c r="B245" s="29" t="s">
        <v>231</v>
      </c>
      <c r="C245" s="26">
        <v>4</v>
      </c>
      <c r="D245" s="26">
        <v>99</v>
      </c>
      <c r="E245" s="26">
        <v>13</v>
      </c>
      <c r="F245" s="26">
        <v>12</v>
      </c>
      <c r="G245" s="16">
        <f>AVERAGE(H245,L245)</f>
        <v>92.294827780290746</v>
      </c>
      <c r="H245" s="28">
        <v>88.837405614234214</v>
      </c>
      <c r="I245" s="28">
        <v>90.262705372639402</v>
      </c>
      <c r="J245" s="28">
        <v>87.209225772510678</v>
      </c>
      <c r="K245" s="28">
        <v>88.039403050661747</v>
      </c>
      <c r="L245" s="25">
        <v>95.752249946347263</v>
      </c>
    </row>
    <row r="246" spans="1:12" ht="20.25" customHeight="1">
      <c r="A246" s="791"/>
      <c r="B246" s="29" t="s">
        <v>232</v>
      </c>
      <c r="C246" s="26">
        <v>4</v>
      </c>
      <c r="D246" s="26">
        <v>131</v>
      </c>
      <c r="E246" s="26">
        <v>34</v>
      </c>
      <c r="F246" s="26">
        <v>16</v>
      </c>
      <c r="G246" s="16">
        <f t="shared" ref="G246:G261" si="8">AVERAGE(H246,L246)</f>
        <v>91.305375237600117</v>
      </c>
      <c r="H246" s="28">
        <v>88.727795475530073</v>
      </c>
      <c r="I246" s="28">
        <v>90.175654787352514</v>
      </c>
      <c r="J246" s="28">
        <v>85.758277963346131</v>
      </c>
      <c r="K246" s="28">
        <v>89.992250821418907</v>
      </c>
      <c r="L246" s="25">
        <v>93.882954999670176</v>
      </c>
    </row>
    <row r="247" spans="1:12" ht="20.25" customHeight="1">
      <c r="A247" s="791"/>
      <c r="B247" s="29" t="s">
        <v>233</v>
      </c>
      <c r="C247" s="26">
        <v>4</v>
      </c>
      <c r="D247" s="26">
        <v>135</v>
      </c>
      <c r="E247" s="26">
        <v>36</v>
      </c>
      <c r="F247" s="26">
        <v>17</v>
      </c>
      <c r="G247" s="16">
        <f t="shared" si="8"/>
        <v>91.206145459134433</v>
      </c>
      <c r="H247" s="28">
        <v>88.027631238310477</v>
      </c>
      <c r="I247" s="28">
        <v>89.659393495728324</v>
      </c>
      <c r="J247" s="28">
        <v>86.525424348611111</v>
      </c>
      <c r="K247" s="28">
        <v>86.26696204269733</v>
      </c>
      <c r="L247" s="25">
        <v>94.384659679958389</v>
      </c>
    </row>
    <row r="248" spans="1:12" ht="20.25" customHeight="1">
      <c r="A248" s="791"/>
      <c r="B248" s="29" t="s">
        <v>234</v>
      </c>
      <c r="C248" s="26">
        <v>4</v>
      </c>
      <c r="D248" s="26">
        <v>107</v>
      </c>
      <c r="E248" s="26">
        <v>18</v>
      </c>
      <c r="F248" s="26">
        <v>14</v>
      </c>
      <c r="G248" s="16">
        <f t="shared" si="8"/>
        <v>92.014431655197029</v>
      </c>
      <c r="H248" s="28">
        <v>89.008434219918342</v>
      </c>
      <c r="I248" s="28">
        <v>92.291927602249984</v>
      </c>
      <c r="J248" s="28">
        <v>85.790599532857115</v>
      </c>
      <c r="K248" s="28">
        <v>86.821645875499982</v>
      </c>
      <c r="L248" s="25">
        <v>95.020429090475702</v>
      </c>
    </row>
    <row r="249" spans="1:12" ht="20.25" customHeight="1">
      <c r="A249" s="791"/>
      <c r="B249" s="29" t="s">
        <v>235</v>
      </c>
      <c r="C249" s="26">
        <v>5</v>
      </c>
      <c r="D249" s="26">
        <v>74</v>
      </c>
      <c r="E249" s="26">
        <v>69</v>
      </c>
      <c r="F249" s="26">
        <v>7</v>
      </c>
      <c r="G249" s="16">
        <f t="shared" si="8"/>
        <v>93.017565171028551</v>
      </c>
      <c r="H249" s="28">
        <v>90.964585546338327</v>
      </c>
      <c r="I249" s="28">
        <v>92.029894330470071</v>
      </c>
      <c r="J249" s="28">
        <v>89.375512688194405</v>
      </c>
      <c r="K249" s="28">
        <v>91.7803515772368</v>
      </c>
      <c r="L249" s="25">
        <v>95.070544795718774</v>
      </c>
    </row>
    <row r="250" spans="1:12" ht="20.25" customHeight="1">
      <c r="A250" s="791"/>
      <c r="B250" s="29" t="s">
        <v>236</v>
      </c>
      <c r="C250" s="26">
        <v>5</v>
      </c>
      <c r="D250" s="26">
        <v>79</v>
      </c>
      <c r="E250" s="26">
        <v>72</v>
      </c>
      <c r="F250" s="26">
        <v>9</v>
      </c>
      <c r="G250" s="16">
        <f t="shared" si="8"/>
        <v>92.809332377782567</v>
      </c>
      <c r="H250" s="28">
        <v>89.433366088953505</v>
      </c>
      <c r="I250" s="28">
        <v>89.407094696751543</v>
      </c>
      <c r="J250" s="28">
        <v>88.920776397558129</v>
      </c>
      <c r="K250" s="28">
        <v>90.619502380499981</v>
      </c>
      <c r="L250" s="25">
        <v>96.185298666611629</v>
      </c>
    </row>
    <row r="251" spans="1:12" ht="20.25" customHeight="1">
      <c r="A251" s="791"/>
      <c r="B251" s="29" t="s">
        <v>237</v>
      </c>
      <c r="C251" s="26">
        <v>5</v>
      </c>
      <c r="D251" s="26">
        <v>68</v>
      </c>
      <c r="E251" s="26">
        <v>64</v>
      </c>
      <c r="F251" s="26">
        <v>5</v>
      </c>
      <c r="G251" s="16">
        <f t="shared" si="8"/>
        <v>93.091410184347708</v>
      </c>
      <c r="H251" s="28">
        <v>90.186569058610601</v>
      </c>
      <c r="I251" s="28">
        <v>90.94978699814547</v>
      </c>
      <c r="J251" s="28">
        <v>86.656125451500017</v>
      </c>
      <c r="K251" s="28">
        <v>95.699944481388854</v>
      </c>
      <c r="L251" s="25">
        <v>95.996251310084816</v>
      </c>
    </row>
    <row r="252" spans="1:12" ht="20.25" customHeight="1">
      <c r="A252" s="791"/>
      <c r="B252" s="29" t="s">
        <v>238</v>
      </c>
      <c r="C252" s="26">
        <v>5</v>
      </c>
      <c r="D252" s="26">
        <v>9</v>
      </c>
      <c r="E252" s="26">
        <v>9</v>
      </c>
      <c r="F252" s="26">
        <v>1</v>
      </c>
      <c r="G252" s="16">
        <f t="shared" si="8"/>
        <v>95.101664722930593</v>
      </c>
      <c r="H252" s="28">
        <v>92.223748472508532</v>
      </c>
      <c r="I252" s="28">
        <v>93.406795196084886</v>
      </c>
      <c r="J252" s="28">
        <v>90.83325396976187</v>
      </c>
      <c r="K252" s="28">
        <v>91.793677749089994</v>
      </c>
      <c r="L252" s="25">
        <v>97.97958097335264</v>
      </c>
    </row>
    <row r="253" spans="1:12" ht="20.25" customHeight="1">
      <c r="A253" s="791"/>
      <c r="B253" s="29" t="s">
        <v>239</v>
      </c>
      <c r="C253" s="26">
        <v>5</v>
      </c>
      <c r="D253" s="26">
        <v>28</v>
      </c>
      <c r="E253" s="26">
        <v>28</v>
      </c>
      <c r="F253" s="26">
        <v>3</v>
      </c>
      <c r="G253" s="16">
        <f t="shared" si="8"/>
        <v>94.120862355561115</v>
      </c>
      <c r="H253" s="28">
        <v>92.120119381425809</v>
      </c>
      <c r="I253" s="28">
        <v>91.381105786208735</v>
      </c>
      <c r="J253" s="28">
        <v>92.285915878297857</v>
      </c>
      <c r="K253" s="28">
        <v>94.730717978571406</v>
      </c>
      <c r="L253" s="25">
        <v>96.121605329696422</v>
      </c>
    </row>
    <row r="254" spans="1:12" ht="20.25" customHeight="1">
      <c r="A254" s="791"/>
      <c r="B254" s="29" t="s">
        <v>240</v>
      </c>
      <c r="C254" s="26">
        <v>5</v>
      </c>
      <c r="D254" s="26">
        <v>70</v>
      </c>
      <c r="E254" s="26">
        <v>66</v>
      </c>
      <c r="F254" s="26">
        <v>6</v>
      </c>
      <c r="G254" s="16">
        <f t="shared" si="8"/>
        <v>93.084088135522009</v>
      </c>
      <c r="H254" s="28">
        <v>90.036221748445783</v>
      </c>
      <c r="I254" s="28">
        <v>90.368960699894231</v>
      </c>
      <c r="J254" s="28">
        <v>90.507584491176814</v>
      </c>
      <c r="K254" s="28">
        <v>87.218660369423048</v>
      </c>
      <c r="L254" s="25">
        <v>96.131954522598235</v>
      </c>
    </row>
    <row r="255" spans="1:12" ht="20.25" customHeight="1">
      <c r="A255" s="791"/>
      <c r="B255" s="29" t="s">
        <v>241</v>
      </c>
      <c r="C255" s="26">
        <v>5</v>
      </c>
      <c r="D255" s="26">
        <v>22</v>
      </c>
      <c r="E255" s="26">
        <v>22</v>
      </c>
      <c r="F255" s="26">
        <v>2</v>
      </c>
      <c r="G255" s="16">
        <f t="shared" si="8"/>
        <v>94.409201245190133</v>
      </c>
      <c r="H255" s="28">
        <v>92.568207253232927</v>
      </c>
      <c r="I255" s="28">
        <v>92.931453309287718</v>
      </c>
      <c r="J255" s="28">
        <v>91.623408014045893</v>
      </c>
      <c r="K255" s="28">
        <v>94.073509460588213</v>
      </c>
      <c r="L255" s="25">
        <v>96.250195237147338</v>
      </c>
    </row>
    <row r="256" spans="1:12" ht="20.25" customHeight="1">
      <c r="A256" s="791"/>
      <c r="B256" s="29" t="s">
        <v>242</v>
      </c>
      <c r="C256" s="26">
        <v>5</v>
      </c>
      <c r="D256" s="26">
        <v>87</v>
      </c>
      <c r="E256" s="26">
        <v>79</v>
      </c>
      <c r="F256" s="26">
        <v>11</v>
      </c>
      <c r="G256" s="16">
        <f t="shared" si="8"/>
        <v>92.542468343173752</v>
      </c>
      <c r="H256" s="28">
        <v>88.5352607427984</v>
      </c>
      <c r="I256" s="28">
        <v>88.666157267651769</v>
      </c>
      <c r="J256" s="28">
        <v>89.317788045357972</v>
      </c>
      <c r="K256" s="28">
        <v>86.090178083863137</v>
      </c>
      <c r="L256" s="25">
        <v>96.549675943549104</v>
      </c>
    </row>
    <row r="257" spans="1:12" ht="20.25" customHeight="1">
      <c r="A257" s="791"/>
      <c r="B257" s="29" t="s">
        <v>243</v>
      </c>
      <c r="C257" s="26">
        <v>5</v>
      </c>
      <c r="D257" s="26">
        <v>86</v>
      </c>
      <c r="E257" s="26">
        <v>78</v>
      </c>
      <c r="F257" s="26">
        <v>10</v>
      </c>
      <c r="G257" s="16">
        <f t="shared" si="8"/>
        <v>92.580983951203123</v>
      </c>
      <c r="H257" s="28">
        <v>92.34410308219195</v>
      </c>
      <c r="I257" s="28">
        <v>92.725216645481126</v>
      </c>
      <c r="J257" s="28">
        <v>90.922642597195107</v>
      </c>
      <c r="K257" s="28">
        <v>94.459706472777754</v>
      </c>
      <c r="L257" s="25">
        <v>92.817864820214297</v>
      </c>
    </row>
    <row r="258" spans="1:12" ht="20.25" customHeight="1">
      <c r="A258" s="791"/>
      <c r="B258" s="29" t="s">
        <v>244</v>
      </c>
      <c r="C258" s="26">
        <v>5</v>
      </c>
      <c r="D258" s="26">
        <v>77</v>
      </c>
      <c r="E258" s="26">
        <v>71</v>
      </c>
      <c r="F258" s="26">
        <v>8</v>
      </c>
      <c r="G258" s="16">
        <f t="shared" si="8"/>
        <v>92.859161816407862</v>
      </c>
      <c r="H258" s="28">
        <v>90.896948626641603</v>
      </c>
      <c r="I258" s="28">
        <v>90.087376986482127</v>
      </c>
      <c r="J258" s="28">
        <v>90.579778945624966</v>
      </c>
      <c r="K258" s="28">
        <v>95.457831535384599</v>
      </c>
      <c r="L258" s="25">
        <v>94.821375006174137</v>
      </c>
    </row>
    <row r="259" spans="1:12" ht="20.25" customHeight="1">
      <c r="A259" s="791"/>
      <c r="B259" s="29" t="s">
        <v>245</v>
      </c>
      <c r="C259" s="26">
        <v>5</v>
      </c>
      <c r="D259" s="26">
        <v>39</v>
      </c>
      <c r="E259" s="26">
        <v>39</v>
      </c>
      <c r="F259" s="26">
        <v>4</v>
      </c>
      <c r="G259" s="16">
        <f t="shared" si="8"/>
        <v>93.762729969104129</v>
      </c>
      <c r="H259" s="28">
        <v>90.44644653525738</v>
      </c>
      <c r="I259" s="28">
        <v>91.211479413732832</v>
      </c>
      <c r="J259" s="28">
        <v>89.36698900436771</v>
      </c>
      <c r="K259" s="28">
        <v>90.474284466499967</v>
      </c>
      <c r="L259" s="25">
        <v>97.079013402950892</v>
      </c>
    </row>
    <row r="260" spans="1:12" ht="20.25" customHeight="1">
      <c r="A260" s="791"/>
      <c r="B260" s="29" t="s">
        <v>246</v>
      </c>
      <c r="C260" s="26">
        <v>5</v>
      </c>
      <c r="D260" s="26">
        <v>118</v>
      </c>
      <c r="E260" s="26">
        <v>94</v>
      </c>
      <c r="F260" s="26">
        <v>15</v>
      </c>
      <c r="G260" s="16">
        <f t="shared" si="8"/>
        <v>91.738151209918385</v>
      </c>
      <c r="H260" s="28">
        <v>89.373446583403748</v>
      </c>
      <c r="I260" s="28">
        <v>87.776627268642557</v>
      </c>
      <c r="J260" s="28">
        <v>90.828860550731676</v>
      </c>
      <c r="K260" s="28">
        <v>91.586469111458314</v>
      </c>
      <c r="L260" s="25">
        <v>94.102855836433037</v>
      </c>
    </row>
    <row r="261" spans="1:12" ht="20.25" customHeight="1" thickBot="1">
      <c r="A261" s="787"/>
      <c r="B261" s="35" t="s">
        <v>247</v>
      </c>
      <c r="C261" s="27">
        <v>5</v>
      </c>
      <c r="D261" s="27">
        <v>101</v>
      </c>
      <c r="E261" s="27">
        <v>87</v>
      </c>
      <c r="F261" s="27">
        <v>13</v>
      </c>
      <c r="G261" s="36">
        <f t="shared" si="8"/>
        <v>92.224092516545539</v>
      </c>
      <c r="H261" s="37">
        <v>90.041957626479473</v>
      </c>
      <c r="I261" s="37">
        <v>90.558840759425038</v>
      </c>
      <c r="J261" s="37">
        <v>87.511113264021745</v>
      </c>
      <c r="K261" s="37">
        <v>95.379823419999965</v>
      </c>
      <c r="L261" s="38">
        <v>94.406227406611592</v>
      </c>
    </row>
    <row r="262" spans="1:12" ht="20.25" customHeight="1" thickBot="1">
      <c r="A262" s="10"/>
      <c r="B262" s="42"/>
      <c r="C262" s="43"/>
      <c r="D262" s="43"/>
      <c r="E262" s="43"/>
      <c r="F262" s="43"/>
      <c r="G262" s="44"/>
      <c r="H262" s="44"/>
      <c r="I262" s="44"/>
      <c r="J262" s="44"/>
      <c r="K262" s="44"/>
      <c r="L262" s="44"/>
    </row>
    <row r="263" spans="1:12" ht="20.25" customHeight="1">
      <c r="A263" s="788" t="s">
        <v>38</v>
      </c>
      <c r="B263" s="778" t="s">
        <v>39</v>
      </c>
      <c r="C263" s="778" t="s">
        <v>40</v>
      </c>
      <c r="D263" s="778" t="s">
        <v>41</v>
      </c>
      <c r="E263" s="778" t="s">
        <v>42</v>
      </c>
      <c r="F263" s="778" t="s">
        <v>43</v>
      </c>
      <c r="G263" s="778" t="s">
        <v>37</v>
      </c>
      <c r="H263" s="781" t="s">
        <v>44</v>
      </c>
      <c r="I263" s="782"/>
      <c r="J263" s="782"/>
      <c r="K263" s="783"/>
      <c r="L263" s="784" t="s">
        <v>45</v>
      </c>
    </row>
    <row r="264" spans="1:12" ht="20.25" customHeight="1">
      <c r="A264" s="789"/>
      <c r="B264" s="779"/>
      <c r="C264" s="779"/>
      <c r="D264" s="779"/>
      <c r="E264" s="779"/>
      <c r="F264" s="779"/>
      <c r="G264" s="780"/>
      <c r="H264" s="12" t="s">
        <v>46</v>
      </c>
      <c r="I264" s="12" t="s">
        <v>47</v>
      </c>
      <c r="J264" s="12" t="s">
        <v>48</v>
      </c>
      <c r="K264" s="12" t="s">
        <v>49</v>
      </c>
      <c r="L264" s="785"/>
    </row>
    <row r="265" spans="1:12" ht="20.25" customHeight="1">
      <c r="A265" s="790"/>
      <c r="B265" s="780"/>
      <c r="C265" s="780"/>
      <c r="D265" s="780"/>
      <c r="E265" s="780"/>
      <c r="F265" s="780"/>
      <c r="G265" s="12" t="s">
        <v>50</v>
      </c>
      <c r="H265" s="12" t="s">
        <v>50</v>
      </c>
      <c r="I265" s="12" t="s">
        <v>50</v>
      </c>
      <c r="J265" s="12" t="s">
        <v>50</v>
      </c>
      <c r="K265" s="12" t="s">
        <v>50</v>
      </c>
      <c r="L265" s="13" t="s">
        <v>50</v>
      </c>
    </row>
    <row r="266" spans="1:12" ht="20.25" customHeight="1">
      <c r="A266" s="14" t="s">
        <v>51</v>
      </c>
      <c r="B266" s="15" t="s">
        <v>52</v>
      </c>
      <c r="C266" s="15" t="s">
        <v>52</v>
      </c>
      <c r="D266" s="15" t="s">
        <v>52</v>
      </c>
      <c r="E266" s="15" t="s">
        <v>52</v>
      </c>
      <c r="F266" s="15" t="s">
        <v>52</v>
      </c>
      <c r="G266" s="16">
        <v>90.916697590525729</v>
      </c>
      <c r="H266" s="28">
        <v>88.812789869058463</v>
      </c>
      <c r="I266" s="28">
        <v>87.6650480805</v>
      </c>
      <c r="J266" s="28">
        <v>89.572642143181881</v>
      </c>
      <c r="K266" s="28">
        <v>91.486095499148888</v>
      </c>
      <c r="L266" s="25">
        <v>92.681327526482164</v>
      </c>
    </row>
    <row r="267" spans="1:12" ht="20.25" customHeight="1">
      <c r="A267" s="786" t="s">
        <v>248</v>
      </c>
      <c r="B267" s="26" t="s">
        <v>249</v>
      </c>
      <c r="C267" s="26">
        <v>5</v>
      </c>
      <c r="D267" s="26">
        <v>158</v>
      </c>
      <c r="E267" s="26">
        <v>108</v>
      </c>
      <c r="F267" s="26">
        <v>2</v>
      </c>
      <c r="G267" s="16">
        <f>AVERAGE(H267,L267)</f>
        <v>90.481519026025666</v>
      </c>
      <c r="H267" s="28">
        <v>86.779360086854908</v>
      </c>
      <c r="I267" s="28">
        <v>84.322742032741758</v>
      </c>
      <c r="J267" s="28">
        <v>89.729512277154768</v>
      </c>
      <c r="K267" s="28">
        <v>90.337351003928546</v>
      </c>
      <c r="L267" s="25">
        <v>94.183677965196438</v>
      </c>
    </row>
    <row r="268" spans="1:12" ht="20.25" customHeight="1" thickBot="1">
      <c r="A268" s="787"/>
      <c r="B268" s="27" t="s">
        <v>250</v>
      </c>
      <c r="C268" s="27">
        <v>5</v>
      </c>
      <c r="D268" s="27">
        <v>109</v>
      </c>
      <c r="E268" s="27">
        <v>91</v>
      </c>
      <c r="F268" s="27">
        <v>1</v>
      </c>
      <c r="G268" s="36">
        <f>AVERAGE(H268,L268)</f>
        <v>91.962677919919301</v>
      </c>
      <c r="H268" s="37">
        <v>91.415011198731463</v>
      </c>
      <c r="I268" s="37">
        <v>92.317176768595957</v>
      </c>
      <c r="J268" s="37">
        <v>89.409497203849966</v>
      </c>
      <c r="K268" s="37">
        <v>93.178982123684179</v>
      </c>
      <c r="L268" s="38">
        <v>92.510344641107139</v>
      </c>
    </row>
  </sheetData>
  <mergeCells count="97">
    <mergeCell ref="A1:L1"/>
    <mergeCell ref="A2:B2"/>
    <mergeCell ref="A3:A5"/>
    <mergeCell ref="B3:B5"/>
    <mergeCell ref="C3:C5"/>
    <mergeCell ref="D3:D5"/>
    <mergeCell ref="E3:E5"/>
    <mergeCell ref="F3:F5"/>
    <mergeCell ref="G3:G4"/>
    <mergeCell ref="H3:K3"/>
    <mergeCell ref="L3:L4"/>
    <mergeCell ref="A7:A28"/>
    <mergeCell ref="A29:L29"/>
    <mergeCell ref="A30:A32"/>
    <mergeCell ref="B30:B32"/>
    <mergeCell ref="C30:C32"/>
    <mergeCell ref="D30:D32"/>
    <mergeCell ref="E30:E32"/>
    <mergeCell ref="F30:F32"/>
    <mergeCell ref="G30:G31"/>
    <mergeCell ref="H30:K30"/>
    <mergeCell ref="L30:L31"/>
    <mergeCell ref="A34:A72"/>
    <mergeCell ref="A73:L73"/>
    <mergeCell ref="A74:A76"/>
    <mergeCell ref="B74:B76"/>
    <mergeCell ref="C74:C76"/>
    <mergeCell ref="D74:D76"/>
    <mergeCell ref="E74:E76"/>
    <mergeCell ref="F74:F76"/>
    <mergeCell ref="E155:E157"/>
    <mergeCell ref="G74:G75"/>
    <mergeCell ref="H74:K74"/>
    <mergeCell ref="L74:L75"/>
    <mergeCell ref="A78:A115"/>
    <mergeCell ref="A116:L116"/>
    <mergeCell ref="A117:A119"/>
    <mergeCell ref="B117:B119"/>
    <mergeCell ref="C117:C119"/>
    <mergeCell ref="D117:D119"/>
    <mergeCell ref="E117:E119"/>
    <mergeCell ref="A121:A153"/>
    <mergeCell ref="A155:A157"/>
    <mergeCell ref="B155:B157"/>
    <mergeCell ref="C155:C157"/>
    <mergeCell ref="D155:D157"/>
    <mergeCell ref="A159:A183"/>
    <mergeCell ref="A185:A187"/>
    <mergeCell ref="B185:B187"/>
    <mergeCell ref="C185:C187"/>
    <mergeCell ref="D185:D187"/>
    <mergeCell ref="A189:A219"/>
    <mergeCell ref="A221:A223"/>
    <mergeCell ref="B221:B223"/>
    <mergeCell ref="C221:C223"/>
    <mergeCell ref="D221:D223"/>
    <mergeCell ref="E241:E243"/>
    <mergeCell ref="F185:F187"/>
    <mergeCell ref="G185:G186"/>
    <mergeCell ref="H185:K185"/>
    <mergeCell ref="L185:L186"/>
    <mergeCell ref="E221:E223"/>
    <mergeCell ref="E185:E187"/>
    <mergeCell ref="A225:A239"/>
    <mergeCell ref="A241:A243"/>
    <mergeCell ref="B241:B243"/>
    <mergeCell ref="C241:C243"/>
    <mergeCell ref="D241:D243"/>
    <mergeCell ref="A267:A268"/>
    <mergeCell ref="P117:P119"/>
    <mergeCell ref="F241:F243"/>
    <mergeCell ref="G241:G242"/>
    <mergeCell ref="H241:K241"/>
    <mergeCell ref="L241:L242"/>
    <mergeCell ref="A245:A261"/>
    <mergeCell ref="A263:A265"/>
    <mergeCell ref="B263:B265"/>
    <mergeCell ref="C263:C265"/>
    <mergeCell ref="D263:D265"/>
    <mergeCell ref="E263:E265"/>
    <mergeCell ref="F221:F223"/>
    <mergeCell ref="G221:G222"/>
    <mergeCell ref="H221:K221"/>
    <mergeCell ref="L221:L222"/>
    <mergeCell ref="Q117:Q119"/>
    <mergeCell ref="F263:F265"/>
    <mergeCell ref="G263:G264"/>
    <mergeCell ref="H263:K263"/>
    <mergeCell ref="L263:L264"/>
    <mergeCell ref="F155:F157"/>
    <mergeCell ref="G155:G156"/>
    <mergeCell ref="H155:K155"/>
    <mergeCell ref="L155:L156"/>
    <mergeCell ref="F117:F119"/>
    <mergeCell ref="G117:G118"/>
    <mergeCell ref="H117:K117"/>
    <mergeCell ref="L117:L118"/>
  </mergeCells>
  <phoneticPr fontId="2" type="noConversion"/>
  <printOptions horizontalCentered="1"/>
  <pageMargins left="0.19" right="0.18" top="0.74803149606299213" bottom="0.33" header="0.31496062992125984" footer="0.31496062992125984"/>
  <pageSetup paperSize="9" scale="85" orientation="portrait" r:id="rId1"/>
  <rowBreaks count="8" manualBreakCount="8">
    <brk id="28" max="16383" man="1"/>
    <brk id="72" max="16383" man="1"/>
    <brk id="115" max="16383" man="1"/>
    <brk id="153" max="11" man="1"/>
    <brk id="183" max="16383" man="1"/>
    <brk id="219" max="11" man="1"/>
    <brk id="239" max="11" man="1"/>
    <brk id="26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10</vt:i4>
      </vt:variant>
    </vt:vector>
  </HeadingPairs>
  <TitlesOfParts>
    <vt:vector size="21" baseType="lpstr">
      <vt:lpstr>목표(창구+집배)</vt:lpstr>
      <vt:lpstr>비교(최종)</vt:lpstr>
      <vt:lpstr>목표(창구)</vt:lpstr>
      <vt:lpstr>비교(창구)</vt:lpstr>
      <vt:lpstr>목표(집배)</vt:lpstr>
      <vt:lpstr>※그룹</vt:lpstr>
      <vt:lpstr>연도별</vt:lpstr>
      <vt:lpstr>2015</vt:lpstr>
      <vt:lpstr>2014</vt:lpstr>
      <vt:lpstr>2013</vt:lpstr>
      <vt:lpstr>2012</vt:lpstr>
      <vt:lpstr>'2012'!Print_Area</vt:lpstr>
      <vt:lpstr>'2013'!Print_Area</vt:lpstr>
      <vt:lpstr>'2014'!Print_Area</vt:lpstr>
      <vt:lpstr>'2015'!Print_Area</vt:lpstr>
      <vt:lpstr>'목표(집배)'!Print_Area</vt:lpstr>
      <vt:lpstr>'목표(창구)'!Print_Area</vt:lpstr>
      <vt:lpstr>'목표(창구+집배)'!Print_Area</vt:lpstr>
      <vt:lpstr>'비교(창구)'!Print_Area</vt:lpstr>
      <vt:lpstr>'비교(최종)'!Print_Area</vt:lpstr>
      <vt:lpstr>연도별!Print_Titles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교육장025</dc:creator>
  <cp:lastModifiedBy>교육장025</cp:lastModifiedBy>
  <cp:lastPrinted>2016-02-11T07:02:32Z</cp:lastPrinted>
  <dcterms:created xsi:type="dcterms:W3CDTF">2015-12-18T08:31:44Z</dcterms:created>
  <dcterms:modified xsi:type="dcterms:W3CDTF">2016-02-11T07:02:37Z</dcterms:modified>
</cp:coreProperties>
</file>