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9615" windowHeight="7545" tabRatio="892"/>
  </bookViews>
  <sheets>
    <sheet name="예산 배정" sheetId="17" r:id="rId1"/>
    <sheet name="평가 내역 세부자료" sheetId="18" r:id="rId2"/>
    <sheet name="총수신고" sheetId="8" r:id="rId3"/>
    <sheet name="체크카드" sheetId="10" r:id="rId4"/>
    <sheet name="스마트금융" sheetId="11" r:id="rId5"/>
    <sheet name="결합마케팅 우수국" sheetId="12" r:id="rId6"/>
    <sheet name="남인천과 인천남동 예산 배정 세부내역" sheetId="22" r:id="rId7"/>
  </sheets>
  <externalReferences>
    <externalReference r:id="rId8"/>
  </externalReferences>
  <definedNames>
    <definedName name="_xlnm._FilterDatabase" localSheetId="6" hidden="1">'남인천과 인천남동 예산 배정 세부내역'!#REF!</definedName>
    <definedName name="_xlnm._FilterDatabase" localSheetId="1" hidden="1">'평가 내역 세부자료'!$A$5:$AB$5</definedName>
    <definedName name="_xlnm.Print_Area" localSheetId="0">'예산 배정'!$A$1:$H$47</definedName>
    <definedName name="_xlnm.Print_Area" localSheetId="1">'평가 내역 세부자료'!$A$1:$Y$46</definedName>
  </definedNames>
  <calcPr calcId="124519"/>
</workbook>
</file>

<file path=xl/calcChain.xml><?xml version="1.0" encoding="utf-8"?>
<calcChain xmlns="http://schemas.openxmlformats.org/spreadsheetml/2006/main">
  <c r="G7" i="1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6"/>
  <c r="C10"/>
  <c r="D10"/>
  <c r="D9"/>
  <c r="C9"/>
  <c r="E41" i="22"/>
  <c r="E40"/>
  <c r="E35"/>
  <c r="E34"/>
  <c r="E28"/>
  <c r="E27"/>
  <c r="E21"/>
  <c r="E20"/>
  <c r="E14"/>
  <c r="E13"/>
  <c r="C8"/>
  <c r="D8"/>
  <c r="E8"/>
  <c r="H8"/>
  <c r="B8"/>
  <c r="D21"/>
  <c r="C7"/>
  <c r="D20" s="1"/>
  <c r="D7"/>
  <c r="D28" s="1"/>
  <c r="E7"/>
  <c r="D34" s="1"/>
  <c r="B7"/>
  <c r="D13" s="1"/>
  <c r="F6"/>
  <c r="H7" s="1"/>
  <c r="Y6" i="18"/>
  <c r="F7" i="17" s="1"/>
  <c r="Y7" i="18"/>
  <c r="F8" i="17" s="1"/>
  <c r="Y8" i="18"/>
  <c r="F9" i="17" s="1"/>
  <c r="Y9" i="18"/>
  <c r="F11" i="17" s="1"/>
  <c r="Y10" i="18"/>
  <c r="F12" i="17" s="1"/>
  <c r="Y11" i="18"/>
  <c r="F13" i="17" s="1"/>
  <c r="Y12" i="18"/>
  <c r="F14" i="17" s="1"/>
  <c r="Y13" i="18"/>
  <c r="F15" i="17" s="1"/>
  <c r="Y14" i="18"/>
  <c r="F16" i="17" s="1"/>
  <c r="Y15" i="18"/>
  <c r="F17" i="17" s="1"/>
  <c r="Y16" i="18"/>
  <c r="F18" i="17" s="1"/>
  <c r="Y17" i="18"/>
  <c r="F19" i="17" s="1"/>
  <c r="Y18" i="18"/>
  <c r="F20" i="17" s="1"/>
  <c r="Y19" i="18"/>
  <c r="F21" i="17" s="1"/>
  <c r="Y20" i="18"/>
  <c r="F22" i="17" s="1"/>
  <c r="Y21" i="18"/>
  <c r="F23" i="17" s="1"/>
  <c r="Y22" i="18"/>
  <c r="F24" i="17" s="1"/>
  <c r="Y23" i="18"/>
  <c r="F25" i="17" s="1"/>
  <c r="Y24" i="18"/>
  <c r="F26" i="17" s="1"/>
  <c r="Y25" i="18"/>
  <c r="F27" i="17" s="1"/>
  <c r="Y26" i="18"/>
  <c r="F28" i="17" s="1"/>
  <c r="Y27" i="18"/>
  <c r="F29" i="17" s="1"/>
  <c r="Y28" i="18"/>
  <c r="F30" i="17" s="1"/>
  <c r="Y29" i="18"/>
  <c r="F31" i="17" s="1"/>
  <c r="Y30" i="18"/>
  <c r="F32" i="17" s="1"/>
  <c r="Y31" i="18"/>
  <c r="F33" i="17" s="1"/>
  <c r="Y32" i="18"/>
  <c r="F34" i="17" s="1"/>
  <c r="Y33" i="18"/>
  <c r="F35" i="17" s="1"/>
  <c r="Y34" i="18"/>
  <c r="F36" i="17" s="1"/>
  <c r="Y35" i="18"/>
  <c r="F37" i="17" s="1"/>
  <c r="Y36" i="18"/>
  <c r="F38" i="17" s="1"/>
  <c r="Y37" i="18"/>
  <c r="F39" i="17" s="1"/>
  <c r="Y38" i="18"/>
  <c r="F40" i="17" s="1"/>
  <c r="Y39" i="18"/>
  <c r="F41" i="17" s="1"/>
  <c r="Y40" i="18"/>
  <c r="F42" i="17" s="1"/>
  <c r="Y41" i="18"/>
  <c r="F43" i="17" s="1"/>
  <c r="Y42" i="18"/>
  <c r="F44" i="17" s="1"/>
  <c r="Y43" i="18"/>
  <c r="F45" i="17" s="1"/>
  <c r="Y44" i="18"/>
  <c r="F46" i="17" s="1"/>
  <c r="Y45" i="18"/>
  <c r="F10" i="17" s="1"/>
  <c r="Y5" i="18"/>
  <c r="F6" i="17" s="1"/>
  <c r="X46" i="18"/>
  <c r="D46" i="12"/>
  <c r="C46"/>
  <c r="E46"/>
  <c r="F46"/>
  <c r="G46"/>
  <c r="H46"/>
  <c r="I46"/>
  <c r="B46"/>
  <c r="K46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5"/>
  <c r="F47" i="17" l="1"/>
  <c r="G47"/>
  <c r="E36" i="22"/>
  <c r="D40"/>
  <c r="D35"/>
  <c r="D27"/>
  <c r="E29" s="1"/>
  <c r="D36"/>
  <c r="D22"/>
  <c r="D14"/>
  <c r="D29" l="1"/>
  <c r="D41"/>
  <c r="E42" s="1"/>
  <c r="E15"/>
  <c r="E22"/>
  <c r="D15"/>
  <c r="D42" s="1"/>
  <c r="U46" i="18" l="1"/>
  <c r="V46"/>
  <c r="W46"/>
  <c r="Y46" l="1"/>
  <c r="N44"/>
  <c r="O44"/>
  <c r="J44"/>
  <c r="K44"/>
  <c r="F44"/>
  <c r="G44"/>
  <c r="B44"/>
  <c r="X78" i="11"/>
  <c r="W78"/>
  <c r="V78"/>
  <c r="B46"/>
  <c r="J44"/>
  <c r="H44"/>
  <c r="I44" s="1"/>
  <c r="G44"/>
  <c r="F44"/>
  <c r="E44"/>
  <c r="C44"/>
  <c r="D44" s="1"/>
  <c r="I43"/>
  <c r="H43"/>
  <c r="J43" s="1"/>
  <c r="G43"/>
  <c r="F43"/>
  <c r="E43"/>
  <c r="D43"/>
  <c r="K43" s="1"/>
  <c r="C43"/>
  <c r="H42"/>
  <c r="I42" s="1"/>
  <c r="G42"/>
  <c r="F42"/>
  <c r="E42"/>
  <c r="D42"/>
  <c r="C42"/>
  <c r="J41"/>
  <c r="I41"/>
  <c r="H41"/>
  <c r="G41"/>
  <c r="F41"/>
  <c r="E41"/>
  <c r="C41"/>
  <c r="D41" s="1"/>
  <c r="J40"/>
  <c r="H40"/>
  <c r="I40" s="1"/>
  <c r="G40"/>
  <c r="F40"/>
  <c r="E40"/>
  <c r="D40"/>
  <c r="K40" s="1"/>
  <c r="C40"/>
  <c r="I39"/>
  <c r="H39"/>
  <c r="J39" s="1"/>
  <c r="G39"/>
  <c r="F39"/>
  <c r="E39"/>
  <c r="C39"/>
  <c r="D39" s="1"/>
  <c r="H38"/>
  <c r="I38" s="1"/>
  <c r="G38"/>
  <c r="F38"/>
  <c r="E38"/>
  <c r="D38"/>
  <c r="C38"/>
  <c r="J37"/>
  <c r="I37"/>
  <c r="H37"/>
  <c r="G37"/>
  <c r="F37"/>
  <c r="E37"/>
  <c r="C37"/>
  <c r="D37" s="1"/>
  <c r="J36"/>
  <c r="H36"/>
  <c r="I36" s="1"/>
  <c r="G36"/>
  <c r="F36"/>
  <c r="E36"/>
  <c r="D36"/>
  <c r="K36" s="1"/>
  <c r="C36"/>
  <c r="I35"/>
  <c r="H35"/>
  <c r="J35" s="1"/>
  <c r="G35"/>
  <c r="F35"/>
  <c r="E35"/>
  <c r="D35"/>
  <c r="K35" s="1"/>
  <c r="C35"/>
  <c r="H34"/>
  <c r="I34" s="1"/>
  <c r="G34"/>
  <c r="F34"/>
  <c r="E34"/>
  <c r="D34"/>
  <c r="K34" s="1"/>
  <c r="C34"/>
  <c r="J33"/>
  <c r="I33"/>
  <c r="H33"/>
  <c r="G33"/>
  <c r="F33"/>
  <c r="E33"/>
  <c r="C33"/>
  <c r="D33" s="1"/>
  <c r="J32"/>
  <c r="H32"/>
  <c r="I32" s="1"/>
  <c r="G32"/>
  <c r="F32"/>
  <c r="E32"/>
  <c r="D32"/>
  <c r="K32" s="1"/>
  <c r="C32"/>
  <c r="X31"/>
  <c r="G8" s="1"/>
  <c r="W31"/>
  <c r="V31"/>
  <c r="H31"/>
  <c r="I31" s="1"/>
  <c r="G31"/>
  <c r="F31"/>
  <c r="E31"/>
  <c r="D31"/>
  <c r="C31"/>
  <c r="J30"/>
  <c r="I30"/>
  <c r="H30"/>
  <c r="G30"/>
  <c r="F30"/>
  <c r="E30"/>
  <c r="C30"/>
  <c r="D30" s="1"/>
  <c r="X29"/>
  <c r="J29"/>
  <c r="I29"/>
  <c r="H29"/>
  <c r="G29"/>
  <c r="F29"/>
  <c r="E29"/>
  <c r="C29"/>
  <c r="D29" s="1"/>
  <c r="J28"/>
  <c r="H28"/>
  <c r="I28" s="1"/>
  <c r="G28"/>
  <c r="F28"/>
  <c r="E28"/>
  <c r="D28"/>
  <c r="K28" s="1"/>
  <c r="C28"/>
  <c r="I27"/>
  <c r="H27"/>
  <c r="J27" s="1"/>
  <c r="G27"/>
  <c r="F27"/>
  <c r="E27"/>
  <c r="D27"/>
  <c r="K27" s="1"/>
  <c r="C27"/>
  <c r="H26"/>
  <c r="I26" s="1"/>
  <c r="G26"/>
  <c r="F26"/>
  <c r="E26"/>
  <c r="D26"/>
  <c r="C26"/>
  <c r="J25"/>
  <c r="I25"/>
  <c r="H25"/>
  <c r="G25"/>
  <c r="F25"/>
  <c r="E25"/>
  <c r="C25"/>
  <c r="D25" s="1"/>
  <c r="J24"/>
  <c r="I24"/>
  <c r="H24"/>
  <c r="G24"/>
  <c r="F24"/>
  <c r="E24"/>
  <c r="D24"/>
  <c r="K24" s="1"/>
  <c r="C24"/>
  <c r="I23"/>
  <c r="H23"/>
  <c r="J23" s="1"/>
  <c r="G23"/>
  <c r="F23"/>
  <c r="E23"/>
  <c r="D23"/>
  <c r="K23" s="1"/>
  <c r="C23"/>
  <c r="H22"/>
  <c r="I22" s="1"/>
  <c r="G22"/>
  <c r="F22"/>
  <c r="E22"/>
  <c r="D22"/>
  <c r="C22"/>
  <c r="J21"/>
  <c r="I21"/>
  <c r="H21"/>
  <c r="G21"/>
  <c r="F21"/>
  <c r="E21"/>
  <c r="C21"/>
  <c r="D21" s="1"/>
  <c r="J20"/>
  <c r="I20"/>
  <c r="H20"/>
  <c r="G20"/>
  <c r="F20"/>
  <c r="E20"/>
  <c r="D20"/>
  <c r="K20" s="1"/>
  <c r="C20"/>
  <c r="I19"/>
  <c r="H19"/>
  <c r="J19" s="1"/>
  <c r="G19"/>
  <c r="F19"/>
  <c r="E19"/>
  <c r="D19"/>
  <c r="K19" s="1"/>
  <c r="C19"/>
  <c r="H18"/>
  <c r="I18" s="1"/>
  <c r="G18"/>
  <c r="F18"/>
  <c r="E18"/>
  <c r="D18"/>
  <c r="K18" s="1"/>
  <c r="C18"/>
  <c r="J17"/>
  <c r="I17"/>
  <c r="H17"/>
  <c r="G17"/>
  <c r="F17"/>
  <c r="E17"/>
  <c r="C17"/>
  <c r="D17" s="1"/>
  <c r="J16"/>
  <c r="I16"/>
  <c r="H16"/>
  <c r="G16"/>
  <c r="F16"/>
  <c r="E16"/>
  <c r="D16"/>
  <c r="K16" s="1"/>
  <c r="C16"/>
  <c r="I15"/>
  <c r="H15"/>
  <c r="J15" s="1"/>
  <c r="G15"/>
  <c r="F15"/>
  <c r="E15"/>
  <c r="D15"/>
  <c r="K15" s="1"/>
  <c r="C15"/>
  <c r="H14"/>
  <c r="I14" s="1"/>
  <c r="G14"/>
  <c r="F14"/>
  <c r="E14"/>
  <c r="D14"/>
  <c r="C14"/>
  <c r="J13"/>
  <c r="I13"/>
  <c r="H13"/>
  <c r="G13"/>
  <c r="F13"/>
  <c r="E13"/>
  <c r="C13"/>
  <c r="D13" s="1"/>
  <c r="J12"/>
  <c r="I12"/>
  <c r="H12"/>
  <c r="G12"/>
  <c r="F12"/>
  <c r="E12"/>
  <c r="D12"/>
  <c r="K12" s="1"/>
  <c r="C12"/>
  <c r="I11"/>
  <c r="H11"/>
  <c r="J11" s="1"/>
  <c r="G11"/>
  <c r="F11"/>
  <c r="E11"/>
  <c r="D11"/>
  <c r="K11" s="1"/>
  <c r="C11"/>
  <c r="H10"/>
  <c r="I10" s="1"/>
  <c r="G10"/>
  <c r="F10"/>
  <c r="E10"/>
  <c r="D10"/>
  <c r="C10"/>
  <c r="J9"/>
  <c r="I9"/>
  <c r="H9"/>
  <c r="G9"/>
  <c r="F9"/>
  <c r="E9"/>
  <c r="C9"/>
  <c r="D9" s="1"/>
  <c r="F8"/>
  <c r="F46" s="1"/>
  <c r="E8"/>
  <c r="D8"/>
  <c r="C8"/>
  <c r="I7"/>
  <c r="H7"/>
  <c r="J7" s="1"/>
  <c r="G7"/>
  <c r="F7"/>
  <c r="E7"/>
  <c r="D7"/>
  <c r="K7" s="1"/>
  <c r="C7"/>
  <c r="H6"/>
  <c r="I6" s="1"/>
  <c r="G6"/>
  <c r="F6"/>
  <c r="E6"/>
  <c r="D6"/>
  <c r="K6" s="1"/>
  <c r="C6"/>
  <c r="J5"/>
  <c r="I5"/>
  <c r="H5"/>
  <c r="G5"/>
  <c r="F5"/>
  <c r="E5"/>
  <c r="E46" s="1"/>
  <c r="C5"/>
  <c r="C46" s="1"/>
  <c r="D46" s="1"/>
  <c r="A2"/>
  <c r="V76" i="10"/>
  <c r="R76"/>
  <c r="B45"/>
  <c r="H44"/>
  <c r="F44"/>
  <c r="G44" s="1"/>
  <c r="E44"/>
  <c r="D44"/>
  <c r="C44"/>
  <c r="H43"/>
  <c r="F43"/>
  <c r="E43"/>
  <c r="C43"/>
  <c r="G43" s="1"/>
  <c r="H42"/>
  <c r="F42"/>
  <c r="G42" s="1"/>
  <c r="E42"/>
  <c r="D42"/>
  <c r="C42"/>
  <c r="H41"/>
  <c r="F41"/>
  <c r="E41"/>
  <c r="C41"/>
  <c r="D41" s="1"/>
  <c r="H40"/>
  <c r="F40"/>
  <c r="G40" s="1"/>
  <c r="E40"/>
  <c r="D40"/>
  <c r="C40"/>
  <c r="H39"/>
  <c r="F39"/>
  <c r="E39"/>
  <c r="C39"/>
  <c r="G39" s="1"/>
  <c r="H38"/>
  <c r="F38"/>
  <c r="G38" s="1"/>
  <c r="E38"/>
  <c r="D38"/>
  <c r="C38"/>
  <c r="H37"/>
  <c r="F37"/>
  <c r="E37"/>
  <c r="C37"/>
  <c r="D37" s="1"/>
  <c r="H36"/>
  <c r="F36"/>
  <c r="G36" s="1"/>
  <c r="E36"/>
  <c r="D36"/>
  <c r="C36"/>
  <c r="H35"/>
  <c r="F35"/>
  <c r="E35"/>
  <c r="C35"/>
  <c r="G35" s="1"/>
  <c r="H34"/>
  <c r="F34"/>
  <c r="G34" s="1"/>
  <c r="E34"/>
  <c r="D34"/>
  <c r="C34"/>
  <c r="H33"/>
  <c r="F33"/>
  <c r="E33"/>
  <c r="C33"/>
  <c r="D33" s="1"/>
  <c r="H32"/>
  <c r="F32"/>
  <c r="G32" s="1"/>
  <c r="E32"/>
  <c r="D32"/>
  <c r="C32"/>
  <c r="C31"/>
  <c r="D31" s="1"/>
  <c r="V30"/>
  <c r="F31" s="1"/>
  <c r="G31" s="1"/>
  <c r="R30"/>
  <c r="E31" s="1"/>
  <c r="H30"/>
  <c r="F30"/>
  <c r="G30" s="1"/>
  <c r="E30"/>
  <c r="D30"/>
  <c r="C30"/>
  <c r="H29"/>
  <c r="F29"/>
  <c r="E29"/>
  <c r="C29"/>
  <c r="G29" s="1"/>
  <c r="H28"/>
  <c r="F28"/>
  <c r="G28" s="1"/>
  <c r="E28"/>
  <c r="D28"/>
  <c r="C28"/>
  <c r="H27"/>
  <c r="F27"/>
  <c r="E27"/>
  <c r="C27"/>
  <c r="D27" s="1"/>
  <c r="H26"/>
  <c r="F26"/>
  <c r="G26" s="1"/>
  <c r="E26"/>
  <c r="D26"/>
  <c r="C26"/>
  <c r="H25"/>
  <c r="F25"/>
  <c r="E25"/>
  <c r="C25"/>
  <c r="G25" s="1"/>
  <c r="H24"/>
  <c r="F24"/>
  <c r="G24" s="1"/>
  <c r="E24"/>
  <c r="D24"/>
  <c r="C24"/>
  <c r="H23"/>
  <c r="F23"/>
  <c r="E23"/>
  <c r="C23"/>
  <c r="D23" s="1"/>
  <c r="H22"/>
  <c r="F22"/>
  <c r="G22" s="1"/>
  <c r="E22"/>
  <c r="D22"/>
  <c r="C22"/>
  <c r="H21"/>
  <c r="F21"/>
  <c r="E21"/>
  <c r="C21"/>
  <c r="G21" s="1"/>
  <c r="H20"/>
  <c r="F20"/>
  <c r="G20" s="1"/>
  <c r="E20"/>
  <c r="D20"/>
  <c r="C20"/>
  <c r="H19"/>
  <c r="F19"/>
  <c r="E19"/>
  <c r="C19"/>
  <c r="D19" s="1"/>
  <c r="H18"/>
  <c r="F18"/>
  <c r="G18" s="1"/>
  <c r="E18"/>
  <c r="D18"/>
  <c r="C18"/>
  <c r="H17"/>
  <c r="F17"/>
  <c r="E17"/>
  <c r="C17"/>
  <c r="G17" s="1"/>
  <c r="H16"/>
  <c r="F16"/>
  <c r="G16" s="1"/>
  <c r="E16"/>
  <c r="D16"/>
  <c r="C16"/>
  <c r="H15"/>
  <c r="F15"/>
  <c r="E15"/>
  <c r="C15"/>
  <c r="D15" s="1"/>
  <c r="H14"/>
  <c r="F14"/>
  <c r="G14" s="1"/>
  <c r="E14"/>
  <c r="D14"/>
  <c r="C14"/>
  <c r="H13"/>
  <c r="F13"/>
  <c r="E13"/>
  <c r="C13"/>
  <c r="G13" s="1"/>
  <c r="H12"/>
  <c r="F12"/>
  <c r="G12" s="1"/>
  <c r="E12"/>
  <c r="D12"/>
  <c r="C12"/>
  <c r="H11"/>
  <c r="F11"/>
  <c r="E11"/>
  <c r="C11"/>
  <c r="D11" s="1"/>
  <c r="H10"/>
  <c r="F10"/>
  <c r="G10" s="1"/>
  <c r="E10"/>
  <c r="D10"/>
  <c r="C10"/>
  <c r="H9"/>
  <c r="F9"/>
  <c r="E9"/>
  <c r="C9"/>
  <c r="G9" s="1"/>
  <c r="H8"/>
  <c r="F8"/>
  <c r="G8" s="1"/>
  <c r="E8"/>
  <c r="D8"/>
  <c r="C8"/>
  <c r="H7"/>
  <c r="F7"/>
  <c r="E7"/>
  <c r="C7"/>
  <c r="D7" s="1"/>
  <c r="H6"/>
  <c r="F6"/>
  <c r="G6" s="1"/>
  <c r="E6"/>
  <c r="D6"/>
  <c r="C6"/>
  <c r="H5"/>
  <c r="F5"/>
  <c r="E5"/>
  <c r="E45" s="1"/>
  <c r="C5"/>
  <c r="C45" s="1"/>
  <c r="D45" s="1"/>
  <c r="A2"/>
  <c r="AO96" i="8"/>
  <c r="AN96"/>
  <c r="AO95"/>
  <c r="AN95"/>
  <c r="AO94"/>
  <c r="T33" s="1"/>
  <c r="AN94"/>
  <c r="AO93"/>
  <c r="AN93"/>
  <c r="AO92"/>
  <c r="T25" s="1"/>
  <c r="AN92"/>
  <c r="AO91"/>
  <c r="AN91"/>
  <c r="AO90"/>
  <c r="T9" s="1"/>
  <c r="AN90"/>
  <c r="AO89"/>
  <c r="AN89"/>
  <c r="AO88"/>
  <c r="T15" s="1"/>
  <c r="AN88"/>
  <c r="AO87"/>
  <c r="AN87"/>
  <c r="AO86"/>
  <c r="T6" s="1"/>
  <c r="AN86"/>
  <c r="AO85"/>
  <c r="AN85"/>
  <c r="AO84"/>
  <c r="AN84"/>
  <c r="AO83"/>
  <c r="AN83"/>
  <c r="AO82"/>
  <c r="T26" s="1"/>
  <c r="AN82"/>
  <c r="AO81"/>
  <c r="AN81"/>
  <c r="AP80"/>
  <c r="AO80"/>
  <c r="AN80"/>
  <c r="AO79"/>
  <c r="T31" s="1"/>
  <c r="AN79"/>
  <c r="AO78"/>
  <c r="AN78"/>
  <c r="AO77"/>
  <c r="AN77"/>
  <c r="O77"/>
  <c r="P77" s="1"/>
  <c r="AO76"/>
  <c r="AN76"/>
  <c r="AO75"/>
  <c r="AN75"/>
  <c r="AO74"/>
  <c r="AN74"/>
  <c r="AO73"/>
  <c r="AN73"/>
  <c r="O73"/>
  <c r="P73" s="1"/>
  <c r="AO72"/>
  <c r="T16" s="1"/>
  <c r="AN72"/>
  <c r="AO71"/>
  <c r="AN71"/>
  <c r="O71"/>
  <c r="P71" s="1"/>
  <c r="AO70"/>
  <c r="T19" s="1"/>
  <c r="AN70"/>
  <c r="O70"/>
  <c r="P70" s="1"/>
  <c r="AO69"/>
  <c r="T18" s="1"/>
  <c r="AN69"/>
  <c r="O69"/>
  <c r="P69" s="1"/>
  <c r="AO68"/>
  <c r="AN68"/>
  <c r="O68"/>
  <c r="P68" s="1"/>
  <c r="AO67"/>
  <c r="AN67"/>
  <c r="O67"/>
  <c r="P67" s="1"/>
  <c r="AO66"/>
  <c r="AN66"/>
  <c r="O66"/>
  <c r="P66" s="1"/>
  <c r="AO65"/>
  <c r="AN65"/>
  <c r="O65"/>
  <c r="P65" s="1"/>
  <c r="AO64"/>
  <c r="AN64"/>
  <c r="AO63"/>
  <c r="AN63"/>
  <c r="O63"/>
  <c r="P63" s="1"/>
  <c r="AO62"/>
  <c r="AN62"/>
  <c r="O62"/>
  <c r="P62" s="1"/>
  <c r="AO61"/>
  <c r="AN61"/>
  <c r="O61"/>
  <c r="P61" s="1"/>
  <c r="AO60"/>
  <c r="AN60"/>
  <c r="O60"/>
  <c r="P60" s="1"/>
  <c r="AO59"/>
  <c r="AN59"/>
  <c r="O59"/>
  <c r="P59" s="1"/>
  <c r="AO58"/>
  <c r="AN58"/>
  <c r="O58"/>
  <c r="P58" s="1"/>
  <c r="AO57"/>
  <c r="AN57"/>
  <c r="O57"/>
  <c r="P57" s="1"/>
  <c r="AO56"/>
  <c r="AN56"/>
  <c r="AO55"/>
  <c r="T8" s="1"/>
  <c r="AN55"/>
  <c r="O55"/>
  <c r="P55" s="1"/>
  <c r="O53"/>
  <c r="P53" s="1"/>
  <c r="O51"/>
  <c r="P51" s="1"/>
  <c r="AO49"/>
  <c r="AN49"/>
  <c r="AO48"/>
  <c r="AN48"/>
  <c r="O72" s="1"/>
  <c r="P72" s="1"/>
  <c r="AO47"/>
  <c r="AN47"/>
  <c r="O75" s="1"/>
  <c r="P75" s="1"/>
  <c r="AO46"/>
  <c r="AN46"/>
  <c r="O50" s="1"/>
  <c r="P50" s="1"/>
  <c r="T46"/>
  <c r="O46"/>
  <c r="N46"/>
  <c r="E46"/>
  <c r="D46"/>
  <c r="AO45"/>
  <c r="AN45"/>
  <c r="O54" s="1"/>
  <c r="P54" s="1"/>
  <c r="P45"/>
  <c r="G45"/>
  <c r="F45"/>
  <c r="AO44"/>
  <c r="AN44"/>
  <c r="P44"/>
  <c r="G44"/>
  <c r="F44"/>
  <c r="AO43"/>
  <c r="AN43"/>
  <c r="P43"/>
  <c r="F43"/>
  <c r="AO42"/>
  <c r="AN42"/>
  <c r="P42"/>
  <c r="G42"/>
  <c r="F42"/>
  <c r="AO41"/>
  <c r="AN41"/>
  <c r="P41"/>
  <c r="G41"/>
  <c r="F41"/>
  <c r="AO40"/>
  <c r="AN40"/>
  <c r="P40"/>
  <c r="G40"/>
  <c r="F40"/>
  <c r="AO39"/>
  <c r="AN39"/>
  <c r="O52" s="1"/>
  <c r="P52" s="1"/>
  <c r="P39"/>
  <c r="F39"/>
  <c r="AO38"/>
  <c r="AN38"/>
  <c r="P38"/>
  <c r="G38"/>
  <c r="F38"/>
  <c r="AO37"/>
  <c r="AN37"/>
  <c r="P37"/>
  <c r="G37"/>
  <c r="F37"/>
  <c r="AO36"/>
  <c r="AN36"/>
  <c r="P36"/>
  <c r="G36"/>
  <c r="F36"/>
  <c r="AO35"/>
  <c r="AN35"/>
  <c r="P35"/>
  <c r="F35"/>
  <c r="AO34"/>
  <c r="AN34"/>
  <c r="O64" s="1"/>
  <c r="P64" s="1"/>
  <c r="F34"/>
  <c r="AR33"/>
  <c r="F13" s="1"/>
  <c r="AO33"/>
  <c r="AQ33" s="1"/>
  <c r="AN33"/>
  <c r="AP33" s="1"/>
  <c r="P7" s="1"/>
  <c r="P33"/>
  <c r="F33"/>
  <c r="AO32"/>
  <c r="AN32"/>
  <c r="P32"/>
  <c r="J32"/>
  <c r="I32"/>
  <c r="K32" s="1"/>
  <c r="F32"/>
  <c r="AO31"/>
  <c r="AN31"/>
  <c r="P31"/>
  <c r="J31"/>
  <c r="I31"/>
  <c r="K31" s="1"/>
  <c r="F31"/>
  <c r="AO30"/>
  <c r="T38" s="1"/>
  <c r="AN30"/>
  <c r="O84" s="1"/>
  <c r="P84" s="1"/>
  <c r="P30"/>
  <c r="I30"/>
  <c r="K30" s="1"/>
  <c r="G30"/>
  <c r="F30"/>
  <c r="AO29"/>
  <c r="AN29"/>
  <c r="P29"/>
  <c r="G29"/>
  <c r="F29"/>
  <c r="AO28"/>
  <c r="AN28"/>
  <c r="O88" s="1"/>
  <c r="P88" s="1"/>
  <c r="P28"/>
  <c r="F28"/>
  <c r="AO27"/>
  <c r="T41" s="1"/>
  <c r="AN27"/>
  <c r="O83" s="1"/>
  <c r="P83" s="1"/>
  <c r="T27"/>
  <c r="P27"/>
  <c r="F27"/>
  <c r="AO26"/>
  <c r="T42" s="1"/>
  <c r="AN26"/>
  <c r="O86" s="1"/>
  <c r="P86" s="1"/>
  <c r="P26"/>
  <c r="F26"/>
  <c r="AO25"/>
  <c r="AN25"/>
  <c r="P25"/>
  <c r="F25"/>
  <c r="AO24"/>
  <c r="T39" s="1"/>
  <c r="AN24"/>
  <c r="O85" s="1"/>
  <c r="P85" s="1"/>
  <c r="T24"/>
  <c r="P24"/>
  <c r="F24"/>
  <c r="AO23"/>
  <c r="AN23"/>
  <c r="T23"/>
  <c r="P23"/>
  <c r="F23"/>
  <c r="AO22"/>
  <c r="AN22"/>
  <c r="T22"/>
  <c r="P22"/>
  <c r="F22"/>
  <c r="AO21"/>
  <c r="T29" s="1"/>
  <c r="AN21"/>
  <c r="T21"/>
  <c r="P21"/>
  <c r="F21"/>
  <c r="AO20"/>
  <c r="T37" s="1"/>
  <c r="AN20"/>
  <c r="O82" s="1"/>
  <c r="P82" s="1"/>
  <c r="T20"/>
  <c r="P20"/>
  <c r="F20"/>
  <c r="AO19"/>
  <c r="T30" s="1"/>
  <c r="AN19"/>
  <c r="P19"/>
  <c r="F19"/>
  <c r="AO18"/>
  <c r="AN18"/>
  <c r="O81" s="1"/>
  <c r="P81" s="1"/>
  <c r="P18"/>
  <c r="F18"/>
  <c r="AO17"/>
  <c r="T34" s="1"/>
  <c r="AN17"/>
  <c r="P34" s="1"/>
  <c r="T17"/>
  <c r="P17"/>
  <c r="F17"/>
  <c r="AO16"/>
  <c r="T35" s="1"/>
  <c r="AN16"/>
  <c r="O79" s="1"/>
  <c r="P79" s="1"/>
  <c r="P16"/>
  <c r="F16"/>
  <c r="AO15"/>
  <c r="AN15"/>
  <c r="O89" s="1"/>
  <c r="P89" s="1"/>
  <c r="P15"/>
  <c r="F15"/>
  <c r="AO14"/>
  <c r="T28" s="1"/>
  <c r="AN14"/>
  <c r="T14"/>
  <c r="P14"/>
  <c r="F14"/>
  <c r="AO13"/>
  <c r="T43" s="1"/>
  <c r="AN13"/>
  <c r="O87" s="1"/>
  <c r="P87" s="1"/>
  <c r="P13"/>
  <c r="AO12"/>
  <c r="T32" s="1"/>
  <c r="AN12"/>
  <c r="O74" s="1"/>
  <c r="P74" s="1"/>
  <c r="T12"/>
  <c r="P12"/>
  <c r="J12"/>
  <c r="I12"/>
  <c r="K12" s="1"/>
  <c r="F12"/>
  <c r="AO11"/>
  <c r="T36" s="1"/>
  <c r="AN11"/>
  <c r="O80" s="1"/>
  <c r="P80" s="1"/>
  <c r="T11"/>
  <c r="P11"/>
  <c r="J11"/>
  <c r="I11"/>
  <c r="K11" s="1"/>
  <c r="F11"/>
  <c r="AO10"/>
  <c r="AN10"/>
  <c r="T10"/>
  <c r="P10"/>
  <c r="J10"/>
  <c r="I10"/>
  <c r="K10" s="1"/>
  <c r="F10"/>
  <c r="AO9"/>
  <c r="T13" s="1"/>
  <c r="AN9"/>
  <c r="O76" s="1"/>
  <c r="P76" s="1"/>
  <c r="P9"/>
  <c r="J9"/>
  <c r="I9"/>
  <c r="K9" s="1"/>
  <c r="F9"/>
  <c r="AO8"/>
  <c r="AN8"/>
  <c r="P8"/>
  <c r="J8"/>
  <c r="I8"/>
  <c r="K8" s="1"/>
  <c r="F8"/>
  <c r="G7"/>
  <c r="F7"/>
  <c r="P6"/>
  <c r="J6"/>
  <c r="I6"/>
  <c r="K6" s="1"/>
  <c r="F6"/>
  <c r="G6" s="1"/>
  <c r="A3"/>
  <c r="R15" l="1"/>
  <c r="R16"/>
  <c r="R18"/>
  <c r="R19"/>
  <c r="R21"/>
  <c r="R22"/>
  <c r="R23"/>
  <c r="R26"/>
  <c r="R27"/>
  <c r="R33"/>
  <c r="I35"/>
  <c r="I39"/>
  <c r="I43"/>
  <c r="R45"/>
  <c r="R29"/>
  <c r="R36"/>
  <c r="I38"/>
  <c r="J38" s="1"/>
  <c r="R40"/>
  <c r="I42"/>
  <c r="J42" s="1"/>
  <c r="R44"/>
  <c r="R30"/>
  <c r="R35"/>
  <c r="I37"/>
  <c r="R39"/>
  <c r="I41"/>
  <c r="R43"/>
  <c r="I45"/>
  <c r="G8"/>
  <c r="G9"/>
  <c r="G10"/>
  <c r="G11"/>
  <c r="G12"/>
  <c r="I14"/>
  <c r="I15"/>
  <c r="I16"/>
  <c r="I17"/>
  <c r="I18"/>
  <c r="I19"/>
  <c r="I20"/>
  <c r="I21"/>
  <c r="I22"/>
  <c r="I23"/>
  <c r="I24"/>
  <c r="I25"/>
  <c r="I26"/>
  <c r="I27"/>
  <c r="I28"/>
  <c r="T44"/>
  <c r="G31"/>
  <c r="G32"/>
  <c r="I33"/>
  <c r="AQ80"/>
  <c r="AQ81" s="1"/>
  <c r="R14"/>
  <c r="R17"/>
  <c r="R20"/>
  <c r="R24"/>
  <c r="R25"/>
  <c r="R28"/>
  <c r="R37"/>
  <c r="R41"/>
  <c r="I7"/>
  <c r="K7" s="1"/>
  <c r="F46"/>
  <c r="R6"/>
  <c r="R8"/>
  <c r="R9"/>
  <c r="R10"/>
  <c r="R11"/>
  <c r="R12"/>
  <c r="R13"/>
  <c r="R31"/>
  <c r="R32"/>
  <c r="G34"/>
  <c r="I36"/>
  <c r="R38"/>
  <c r="I40"/>
  <c r="R42"/>
  <c r="I44"/>
  <c r="T45"/>
  <c r="T40"/>
  <c r="G14"/>
  <c r="G15"/>
  <c r="G16"/>
  <c r="G17"/>
  <c r="G18"/>
  <c r="G19"/>
  <c r="G20"/>
  <c r="G21"/>
  <c r="G22"/>
  <c r="G23"/>
  <c r="G24"/>
  <c r="G25"/>
  <c r="G26"/>
  <c r="G27"/>
  <c r="G28"/>
  <c r="I29"/>
  <c r="J30"/>
  <c r="G33"/>
  <c r="G35"/>
  <c r="G39"/>
  <c r="G43"/>
  <c r="C44" i="18"/>
  <c r="D44" s="1"/>
  <c r="H44"/>
  <c r="P44"/>
  <c r="L44"/>
  <c r="L13" i="11"/>
  <c r="K13"/>
  <c r="L21"/>
  <c r="K21"/>
  <c r="L29"/>
  <c r="K29"/>
  <c r="L30"/>
  <c r="K30"/>
  <c r="L41"/>
  <c r="K41"/>
  <c r="K44"/>
  <c r="L44"/>
  <c r="K10"/>
  <c r="K14"/>
  <c r="G46"/>
  <c r="L9"/>
  <c r="K9"/>
  <c r="L17"/>
  <c r="K17"/>
  <c r="L25"/>
  <c r="K25"/>
  <c r="L33"/>
  <c r="K33"/>
  <c r="K39"/>
  <c r="L39"/>
  <c r="L37"/>
  <c r="K37"/>
  <c r="L38"/>
  <c r="L18"/>
  <c r="L11"/>
  <c r="L15"/>
  <c r="L19"/>
  <c r="K22"/>
  <c r="L23"/>
  <c r="K26"/>
  <c r="L27"/>
  <c r="K31"/>
  <c r="L35"/>
  <c r="K38"/>
  <c r="K42"/>
  <c r="L43"/>
  <c r="J10"/>
  <c r="L10" s="1"/>
  <c r="J18"/>
  <c r="L20"/>
  <c r="J22"/>
  <c r="L22" s="1"/>
  <c r="L24"/>
  <c r="J26"/>
  <c r="L26" s="1"/>
  <c r="L28"/>
  <c r="J31"/>
  <c r="L31" s="1"/>
  <c r="L32"/>
  <c r="J34"/>
  <c r="L34" s="1"/>
  <c r="L36"/>
  <c r="J38"/>
  <c r="L40"/>
  <c r="J42"/>
  <c r="L42" s="1"/>
  <c r="L7"/>
  <c r="J6"/>
  <c r="L6" s="1"/>
  <c r="H8"/>
  <c r="L12"/>
  <c r="J14"/>
  <c r="L14" s="1"/>
  <c r="L16"/>
  <c r="D5"/>
  <c r="I36" i="10"/>
  <c r="J36"/>
  <c r="I8"/>
  <c r="J8"/>
  <c r="L8" s="1"/>
  <c r="J13"/>
  <c r="I13"/>
  <c r="I16"/>
  <c r="J16"/>
  <c r="L16" s="1"/>
  <c r="J21"/>
  <c r="I21"/>
  <c r="I24"/>
  <c r="J24"/>
  <c r="L24" s="1"/>
  <c r="J29"/>
  <c r="I29"/>
  <c r="I34"/>
  <c r="J34"/>
  <c r="L34" s="1"/>
  <c r="J39"/>
  <c r="I39"/>
  <c r="I42"/>
  <c r="J42"/>
  <c r="L42" s="1"/>
  <c r="I6"/>
  <c r="K6" s="1"/>
  <c r="J6"/>
  <c r="I14"/>
  <c r="K14" s="1"/>
  <c r="J14"/>
  <c r="L14" s="1"/>
  <c r="I22"/>
  <c r="K22" s="1"/>
  <c r="J22"/>
  <c r="I30"/>
  <c r="K30" s="1"/>
  <c r="J30"/>
  <c r="L30" s="1"/>
  <c r="I32"/>
  <c r="K32" s="1"/>
  <c r="J32"/>
  <c r="I40"/>
  <c r="J40"/>
  <c r="K40"/>
  <c r="K28"/>
  <c r="K26"/>
  <c r="K36"/>
  <c r="I10"/>
  <c r="K10" s="1"/>
  <c r="J10"/>
  <c r="I18"/>
  <c r="K18" s="1"/>
  <c r="J18"/>
  <c r="I26"/>
  <c r="J26"/>
  <c r="I44"/>
  <c r="K44" s="1"/>
  <c r="J44"/>
  <c r="L44" s="1"/>
  <c r="J9"/>
  <c r="I9"/>
  <c r="I12"/>
  <c r="K12" s="1"/>
  <c r="J12"/>
  <c r="J17"/>
  <c r="I17"/>
  <c r="I20"/>
  <c r="K20" s="1"/>
  <c r="J20"/>
  <c r="J25"/>
  <c r="I25"/>
  <c r="I28"/>
  <c r="J28"/>
  <c r="J31"/>
  <c r="L31" s="1"/>
  <c r="I31"/>
  <c r="K31" s="1"/>
  <c r="J35"/>
  <c r="I35"/>
  <c r="I38"/>
  <c r="K38" s="1"/>
  <c r="J38"/>
  <c r="J43"/>
  <c r="I43"/>
  <c r="K8"/>
  <c r="K16"/>
  <c r="K24"/>
  <c r="K34"/>
  <c r="K42"/>
  <c r="G7"/>
  <c r="G11"/>
  <c r="L12"/>
  <c r="G15"/>
  <c r="G19"/>
  <c r="L20"/>
  <c r="G23"/>
  <c r="G27"/>
  <c r="L28"/>
  <c r="G33"/>
  <c r="G37"/>
  <c r="L38"/>
  <c r="G41"/>
  <c r="F45"/>
  <c r="G45" s="1"/>
  <c r="D5"/>
  <c r="D9"/>
  <c r="D13"/>
  <c r="D17"/>
  <c r="D21"/>
  <c r="D25"/>
  <c r="D29"/>
  <c r="H31"/>
  <c r="H45" s="1"/>
  <c r="D35"/>
  <c r="D39"/>
  <c r="D43"/>
  <c r="G5"/>
  <c r="L6"/>
  <c r="L10"/>
  <c r="L18"/>
  <c r="L22"/>
  <c r="L26"/>
  <c r="L32"/>
  <c r="L36"/>
  <c r="L40"/>
  <c r="Q76" i="8"/>
  <c r="R76"/>
  <c r="Q84"/>
  <c r="R84"/>
  <c r="AQ34"/>
  <c r="T7"/>
  <c r="K38"/>
  <c r="R52"/>
  <c r="Q52"/>
  <c r="K42"/>
  <c r="Q57"/>
  <c r="R57"/>
  <c r="Q61"/>
  <c r="R61"/>
  <c r="Q68"/>
  <c r="R68"/>
  <c r="J7"/>
  <c r="Q80"/>
  <c r="R80"/>
  <c r="Q89"/>
  <c r="R89"/>
  <c r="U34"/>
  <c r="R34"/>
  <c r="R81"/>
  <c r="Q81"/>
  <c r="Q82"/>
  <c r="R82"/>
  <c r="Q85"/>
  <c r="R85"/>
  <c r="Q86"/>
  <c r="R86"/>
  <c r="Q83"/>
  <c r="R83"/>
  <c r="U7"/>
  <c r="R7"/>
  <c r="O56"/>
  <c r="P56" s="1"/>
  <c r="Q64"/>
  <c r="R64"/>
  <c r="J37"/>
  <c r="K37"/>
  <c r="J41"/>
  <c r="K41"/>
  <c r="J45"/>
  <c r="K45"/>
  <c r="Q75"/>
  <c r="R75"/>
  <c r="Q55"/>
  <c r="R55"/>
  <c r="Q58"/>
  <c r="R58"/>
  <c r="Q62"/>
  <c r="R62"/>
  <c r="Q65"/>
  <c r="R65"/>
  <c r="Q69"/>
  <c r="R69"/>
  <c r="Q77"/>
  <c r="R77"/>
  <c r="Q87"/>
  <c r="R87"/>
  <c r="Q79"/>
  <c r="R79"/>
  <c r="G46"/>
  <c r="I46"/>
  <c r="Q88"/>
  <c r="R88"/>
  <c r="J36"/>
  <c r="K36"/>
  <c r="J40"/>
  <c r="K40"/>
  <c r="J44"/>
  <c r="K44"/>
  <c r="R54"/>
  <c r="Q54"/>
  <c r="Q53"/>
  <c r="R53"/>
  <c r="Q59"/>
  <c r="R59"/>
  <c r="Q63"/>
  <c r="R63"/>
  <c r="Q66"/>
  <c r="R66"/>
  <c r="Q70"/>
  <c r="R70"/>
  <c r="Q73"/>
  <c r="R73"/>
  <c r="Q74"/>
  <c r="R74"/>
  <c r="I13"/>
  <c r="G13"/>
  <c r="J35"/>
  <c r="K35"/>
  <c r="J39"/>
  <c r="K39"/>
  <c r="J43"/>
  <c r="K43"/>
  <c r="R50"/>
  <c r="Q50"/>
  <c r="Q72"/>
  <c r="R72"/>
  <c r="Q51"/>
  <c r="R51"/>
  <c r="Q60"/>
  <c r="R60"/>
  <c r="Q67"/>
  <c r="R67"/>
  <c r="Q71"/>
  <c r="R71"/>
  <c r="I34"/>
  <c r="O78"/>
  <c r="P78" s="1"/>
  <c r="U6"/>
  <c r="U8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33"/>
  <c r="U35"/>
  <c r="U36"/>
  <c r="U37"/>
  <c r="U38"/>
  <c r="U39"/>
  <c r="U40"/>
  <c r="U41"/>
  <c r="U42"/>
  <c r="U43"/>
  <c r="U44"/>
  <c r="U45"/>
  <c r="P46"/>
  <c r="K29" l="1"/>
  <c r="J29"/>
  <c r="K27"/>
  <c r="J27"/>
  <c r="K23"/>
  <c r="J23"/>
  <c r="K19"/>
  <c r="J19"/>
  <c r="K15"/>
  <c r="J15"/>
  <c r="K33"/>
  <c r="J33"/>
  <c r="K28"/>
  <c r="J28"/>
  <c r="K24"/>
  <c r="J24"/>
  <c r="K20"/>
  <c r="J20"/>
  <c r="K16"/>
  <c r="J16"/>
  <c r="K25"/>
  <c r="J25"/>
  <c r="K21"/>
  <c r="J21"/>
  <c r="K17"/>
  <c r="J17"/>
  <c r="K26"/>
  <c r="J26"/>
  <c r="K22"/>
  <c r="J22"/>
  <c r="K18"/>
  <c r="J18"/>
  <c r="K14"/>
  <c r="J14"/>
  <c r="M6" i="11"/>
  <c r="M42"/>
  <c r="M12"/>
  <c r="M19"/>
  <c r="M13"/>
  <c r="M17"/>
  <c r="I8"/>
  <c r="K8" s="1"/>
  <c r="J8"/>
  <c r="L8" s="1"/>
  <c r="M41"/>
  <c r="M24"/>
  <c r="M30"/>
  <c r="L5"/>
  <c r="M5" s="1"/>
  <c r="K5"/>
  <c r="M36"/>
  <c r="M29"/>
  <c r="M15"/>
  <c r="M9"/>
  <c r="M44"/>
  <c r="K35" i="10"/>
  <c r="L35"/>
  <c r="K21"/>
  <c r="L21"/>
  <c r="K39"/>
  <c r="L39"/>
  <c r="K25"/>
  <c r="L25"/>
  <c r="K9"/>
  <c r="L9"/>
  <c r="I41"/>
  <c r="K41" s="1"/>
  <c r="J41"/>
  <c r="L41" s="1"/>
  <c r="I33"/>
  <c r="K33" s="1"/>
  <c r="J33"/>
  <c r="L33" s="1"/>
  <c r="I23"/>
  <c r="K23" s="1"/>
  <c r="J23"/>
  <c r="L23" s="1"/>
  <c r="I15"/>
  <c r="K15" s="1"/>
  <c r="J15"/>
  <c r="L15" s="1"/>
  <c r="I7"/>
  <c r="K7" s="1"/>
  <c r="J7"/>
  <c r="L7" s="1"/>
  <c r="K43"/>
  <c r="L43"/>
  <c r="K29"/>
  <c r="L29"/>
  <c r="K13"/>
  <c r="L13"/>
  <c r="J5"/>
  <c r="L5" s="1"/>
  <c r="I5"/>
  <c r="K5" s="1"/>
  <c r="K17"/>
  <c r="L17"/>
  <c r="I37"/>
  <c r="K37" s="1"/>
  <c r="J37"/>
  <c r="L37" s="1"/>
  <c r="I27"/>
  <c r="K27" s="1"/>
  <c r="J27"/>
  <c r="L27" s="1"/>
  <c r="I19"/>
  <c r="K19" s="1"/>
  <c r="J19"/>
  <c r="L19" s="1"/>
  <c r="I11"/>
  <c r="K11" s="1"/>
  <c r="J11"/>
  <c r="L11" s="1"/>
  <c r="W42" i="8"/>
  <c r="V42"/>
  <c r="W29"/>
  <c r="V29"/>
  <c r="Q78"/>
  <c r="R78"/>
  <c r="S78" s="1"/>
  <c r="S79" s="1"/>
  <c r="S80" s="1"/>
  <c r="S81" s="1"/>
  <c r="S82" s="1"/>
  <c r="S83" s="1"/>
  <c r="S84" s="1"/>
  <c r="S85" s="1"/>
  <c r="S86" s="1"/>
  <c r="S87" s="1"/>
  <c r="S88" s="1"/>
  <c r="S89" s="1"/>
  <c r="T89" s="1"/>
  <c r="Y45" s="1"/>
  <c r="V7"/>
  <c r="W7"/>
  <c r="V34"/>
  <c r="W34"/>
  <c r="U46"/>
  <c r="R46"/>
  <c r="W38"/>
  <c r="V38"/>
  <c r="W33"/>
  <c r="V33"/>
  <c r="W25"/>
  <c r="V25"/>
  <c r="W21"/>
  <c r="V21"/>
  <c r="W17"/>
  <c r="V17"/>
  <c r="W13"/>
  <c r="V13"/>
  <c r="W9"/>
  <c r="V9"/>
  <c r="W43"/>
  <c r="V43"/>
  <c r="W39"/>
  <c r="V39"/>
  <c r="W35"/>
  <c r="V35"/>
  <c r="W30"/>
  <c r="V30"/>
  <c r="W26"/>
  <c r="V26"/>
  <c r="W22"/>
  <c r="V22"/>
  <c r="W18"/>
  <c r="V18"/>
  <c r="W14"/>
  <c r="V14"/>
  <c r="W10"/>
  <c r="V10"/>
  <c r="W44"/>
  <c r="V44"/>
  <c r="W40"/>
  <c r="V40"/>
  <c r="W36"/>
  <c r="V36"/>
  <c r="W31"/>
  <c r="V31"/>
  <c r="W27"/>
  <c r="V27"/>
  <c r="W23"/>
  <c r="V23"/>
  <c r="W19"/>
  <c r="V19"/>
  <c r="W15"/>
  <c r="V15"/>
  <c r="W11"/>
  <c r="V11"/>
  <c r="W6"/>
  <c r="V6"/>
  <c r="J34"/>
  <c r="K34"/>
  <c r="W45"/>
  <c r="V45"/>
  <c r="W41"/>
  <c r="V41"/>
  <c r="W37"/>
  <c r="V37"/>
  <c r="W32"/>
  <c r="V32"/>
  <c r="W28"/>
  <c r="V28"/>
  <c r="W24"/>
  <c r="V24"/>
  <c r="W20"/>
  <c r="V20"/>
  <c r="W16"/>
  <c r="V16"/>
  <c r="W12"/>
  <c r="V12"/>
  <c r="W8"/>
  <c r="V8"/>
  <c r="Q56"/>
  <c r="R56"/>
  <c r="K13"/>
  <c r="J13"/>
  <c r="S50"/>
  <c r="S51" s="1"/>
  <c r="S52" s="1"/>
  <c r="S53" s="1"/>
  <c r="S54" s="1"/>
  <c r="S55" s="1"/>
  <c r="S56" s="1"/>
  <c r="S57" s="1"/>
  <c r="S58" s="1"/>
  <c r="S59" s="1"/>
  <c r="S60" s="1"/>
  <c r="S61" s="1"/>
  <c r="S62" s="1"/>
  <c r="S63" s="1"/>
  <c r="S64" s="1"/>
  <c r="S65" s="1"/>
  <c r="S66" s="1"/>
  <c r="S67" s="1"/>
  <c r="S68" s="1"/>
  <c r="S69" s="1"/>
  <c r="S70" s="1"/>
  <c r="S71" s="1"/>
  <c r="S72" s="1"/>
  <c r="S73" s="1"/>
  <c r="S74" s="1"/>
  <c r="S75" s="1"/>
  <c r="S76" s="1"/>
  <c r="S77" s="1"/>
  <c r="T77" s="1"/>
  <c r="Y23" s="1"/>
  <c r="T87" l="1"/>
  <c r="Y43" s="1"/>
  <c r="T88"/>
  <c r="Y44" s="1"/>
  <c r="T85"/>
  <c r="Y39" s="1"/>
  <c r="M21" i="11"/>
  <c r="M35"/>
  <c r="M16"/>
  <c r="M43"/>
  <c r="M18"/>
  <c r="M7"/>
  <c r="M34"/>
  <c r="M22"/>
  <c r="M23"/>
  <c r="M40"/>
  <c r="M8"/>
  <c r="M37"/>
  <c r="M38"/>
  <c r="M20"/>
  <c r="M26"/>
  <c r="M10"/>
  <c r="M25"/>
  <c r="M11"/>
  <c r="M32"/>
  <c r="M28"/>
  <c r="M33"/>
  <c r="M39"/>
  <c r="M27"/>
  <c r="M14"/>
  <c r="M31"/>
  <c r="M5" i="10"/>
  <c r="M14"/>
  <c r="M16"/>
  <c r="M6"/>
  <c r="M12"/>
  <c r="M32"/>
  <c r="M30"/>
  <c r="M24"/>
  <c r="M22"/>
  <c r="M20"/>
  <c r="M10"/>
  <c r="M44"/>
  <c r="M34"/>
  <c r="M36"/>
  <c r="M28"/>
  <c r="M26"/>
  <c r="M31"/>
  <c r="M42"/>
  <c r="M8"/>
  <c r="M38"/>
  <c r="M40"/>
  <c r="M18"/>
  <c r="M37"/>
  <c r="M13"/>
  <c r="M43"/>
  <c r="M15"/>
  <c r="M33"/>
  <c r="M9"/>
  <c r="M39"/>
  <c r="M21"/>
  <c r="M11"/>
  <c r="M27"/>
  <c r="M17"/>
  <c r="M29"/>
  <c r="M7"/>
  <c r="M23"/>
  <c r="M41"/>
  <c r="M25"/>
  <c r="M35"/>
  <c r="M19"/>
  <c r="T61" i="8"/>
  <c r="Y11" s="1"/>
  <c r="T64"/>
  <c r="Y12" s="1"/>
  <c r="T66"/>
  <c r="Y29" s="1"/>
  <c r="T62"/>
  <c r="Y27" s="1"/>
  <c r="T63"/>
  <c r="Y17" s="1"/>
  <c r="T60"/>
  <c r="Y26" s="1"/>
  <c r="X40"/>
  <c r="X41" s="1"/>
  <c r="X42" s="1"/>
  <c r="X43" s="1"/>
  <c r="X44" s="1"/>
  <c r="X45" s="1"/>
  <c r="T81"/>
  <c r="Y40" s="1"/>
  <c r="T65"/>
  <c r="Y28" s="1"/>
  <c r="T59"/>
  <c r="Y10" s="1"/>
  <c r="T56"/>
  <c r="Y7" s="1"/>
  <c r="T55"/>
  <c r="Y16" s="1"/>
  <c r="T53"/>
  <c r="Y15" s="1"/>
  <c r="T72"/>
  <c r="Y21" s="1"/>
  <c r="Z40"/>
  <c r="Z43"/>
  <c r="T68"/>
  <c r="Y18" s="1"/>
  <c r="T54"/>
  <c r="Y25" s="1"/>
  <c r="T78"/>
  <c r="Y34" s="1"/>
  <c r="Z45"/>
  <c r="T52"/>
  <c r="Y6" s="1"/>
  <c r="Z42"/>
  <c r="T74"/>
  <c r="Y32" s="1"/>
  <c r="T51"/>
  <c r="Y14" s="1"/>
  <c r="X14"/>
  <c r="X15" s="1"/>
  <c r="X16" s="1"/>
  <c r="X17" s="1"/>
  <c r="X18" s="1"/>
  <c r="X19" s="1"/>
  <c r="X20" s="1"/>
  <c r="X21" s="1"/>
  <c r="X22" s="1"/>
  <c r="X23" s="1"/>
  <c r="Z23" s="1"/>
  <c r="T57"/>
  <c r="Y8" s="1"/>
  <c r="T86"/>
  <c r="Y42" s="1"/>
  <c r="X34"/>
  <c r="X35" s="1"/>
  <c r="X36" s="1"/>
  <c r="X37" s="1"/>
  <c r="X38" s="1"/>
  <c r="X39" s="1"/>
  <c r="T75"/>
  <c r="Y33" s="1"/>
  <c r="T79"/>
  <c r="Y35" s="1"/>
  <c r="T73"/>
  <c r="Y22" s="1"/>
  <c r="T84"/>
  <c r="Y38" s="1"/>
  <c r="T83"/>
  <c r="Y41" s="1"/>
  <c r="X24"/>
  <c r="X25" s="1"/>
  <c r="X26" s="1"/>
  <c r="X27" s="1"/>
  <c r="X28" s="1"/>
  <c r="X29" s="1"/>
  <c r="X30" s="1"/>
  <c r="X31" s="1"/>
  <c r="X32" s="1"/>
  <c r="X33" s="1"/>
  <c r="Z33" s="1"/>
  <c r="T69"/>
  <c r="Y19" s="1"/>
  <c r="T70"/>
  <c r="Y20" s="1"/>
  <c r="T71"/>
  <c r="Y31" s="1"/>
  <c r="Z19"/>
  <c r="Z36"/>
  <c r="Z44"/>
  <c r="Z14"/>
  <c r="Z39"/>
  <c r="Z25"/>
  <c r="T76"/>
  <c r="Y13" s="1"/>
  <c r="T82"/>
  <c r="Y37" s="1"/>
  <c r="T67"/>
  <c r="Y30" s="1"/>
  <c r="T58"/>
  <c r="Y9" s="1"/>
  <c r="X6"/>
  <c r="X7" s="1"/>
  <c r="X8" s="1"/>
  <c r="X9" s="1"/>
  <c r="X10" s="1"/>
  <c r="X11" s="1"/>
  <c r="X12" s="1"/>
  <c r="X13" s="1"/>
  <c r="Z13" s="1"/>
  <c r="T80"/>
  <c r="Y36" s="1"/>
  <c r="T50"/>
  <c r="Y24" s="1"/>
  <c r="Z29" l="1"/>
  <c r="Z38"/>
  <c r="Z30"/>
  <c r="Z27"/>
  <c r="Z37"/>
  <c r="Z31"/>
  <c r="Z9"/>
  <c r="Z34"/>
  <c r="Z26"/>
  <c r="Z17"/>
  <c r="Z22"/>
  <c r="Z35"/>
  <c r="Z6"/>
  <c r="Z41"/>
  <c r="Z8"/>
  <c r="Z10"/>
  <c r="Z15"/>
  <c r="Z16"/>
  <c r="Z28"/>
  <c r="Z12"/>
  <c r="Z7"/>
  <c r="Z11"/>
  <c r="Z20"/>
  <c r="Z18"/>
  <c r="Z24"/>
  <c r="Z21"/>
  <c r="Z32"/>
  <c r="E10" i="17" l="1"/>
  <c r="O43" i="18"/>
  <c r="N43"/>
  <c r="K43"/>
  <c r="J43"/>
  <c r="G43"/>
  <c r="F43"/>
  <c r="C43"/>
  <c r="B43"/>
  <c r="O42"/>
  <c r="N42"/>
  <c r="K42"/>
  <c r="J42"/>
  <c r="G42"/>
  <c r="F42"/>
  <c r="C42"/>
  <c r="B42"/>
  <c r="O41"/>
  <c r="N41"/>
  <c r="K41"/>
  <c r="J41"/>
  <c r="G41"/>
  <c r="F41"/>
  <c r="C41"/>
  <c r="B41"/>
  <c r="O40"/>
  <c r="N40"/>
  <c r="K40"/>
  <c r="J40"/>
  <c r="G40"/>
  <c r="F40"/>
  <c r="C40"/>
  <c r="B40"/>
  <c r="O39"/>
  <c r="N39"/>
  <c r="K39"/>
  <c r="J39"/>
  <c r="G39"/>
  <c r="F39"/>
  <c r="C39"/>
  <c r="B39"/>
  <c r="O38"/>
  <c r="N38"/>
  <c r="K38"/>
  <c r="J38"/>
  <c r="G38"/>
  <c r="F38"/>
  <c r="C38"/>
  <c r="B38"/>
  <c r="O37"/>
  <c r="N37"/>
  <c r="K37"/>
  <c r="J37"/>
  <c r="G37"/>
  <c r="F37"/>
  <c r="C37"/>
  <c r="B37"/>
  <c r="O36"/>
  <c r="N36"/>
  <c r="K36"/>
  <c r="J36"/>
  <c r="G36"/>
  <c r="F36"/>
  <c r="C36"/>
  <c r="B36"/>
  <c r="O35"/>
  <c r="N35"/>
  <c r="K35"/>
  <c r="J35"/>
  <c r="G35"/>
  <c r="F35"/>
  <c r="C35"/>
  <c r="B35"/>
  <c r="O34"/>
  <c r="N34"/>
  <c r="K34"/>
  <c r="J34"/>
  <c r="G34"/>
  <c r="F34"/>
  <c r="C34"/>
  <c r="B34"/>
  <c r="O33"/>
  <c r="N33"/>
  <c r="K33"/>
  <c r="J33"/>
  <c r="G33"/>
  <c r="F33"/>
  <c r="C33"/>
  <c r="B33"/>
  <c r="O32"/>
  <c r="N32"/>
  <c r="K32"/>
  <c r="J32"/>
  <c r="G32"/>
  <c r="F32"/>
  <c r="C32"/>
  <c r="B32"/>
  <c r="O31"/>
  <c r="N31"/>
  <c r="K31"/>
  <c r="J31"/>
  <c r="G31"/>
  <c r="F31"/>
  <c r="C31"/>
  <c r="B31"/>
  <c r="O30"/>
  <c r="N30"/>
  <c r="K30"/>
  <c r="J30"/>
  <c r="G30"/>
  <c r="F30"/>
  <c r="C30"/>
  <c r="B30"/>
  <c r="O29"/>
  <c r="N29"/>
  <c r="K29"/>
  <c r="J29"/>
  <c r="G29"/>
  <c r="F29"/>
  <c r="C29"/>
  <c r="B29"/>
  <c r="O28"/>
  <c r="N28"/>
  <c r="K28"/>
  <c r="J28"/>
  <c r="G28"/>
  <c r="F28"/>
  <c r="C28"/>
  <c r="B28"/>
  <c r="O27"/>
  <c r="N27"/>
  <c r="K27"/>
  <c r="J27"/>
  <c r="G27"/>
  <c r="F27"/>
  <c r="C27"/>
  <c r="B27"/>
  <c r="O26"/>
  <c r="N26"/>
  <c r="K26"/>
  <c r="J26"/>
  <c r="G26"/>
  <c r="F26"/>
  <c r="C26"/>
  <c r="B26"/>
  <c r="O25"/>
  <c r="N25"/>
  <c r="K25"/>
  <c r="J25"/>
  <c r="G25"/>
  <c r="F25"/>
  <c r="C25"/>
  <c r="B25"/>
  <c r="O24"/>
  <c r="N24"/>
  <c r="K24"/>
  <c r="J24"/>
  <c r="G24"/>
  <c r="F24"/>
  <c r="C24"/>
  <c r="B24"/>
  <c r="O23"/>
  <c r="N23"/>
  <c r="K23"/>
  <c r="J23"/>
  <c r="G23"/>
  <c r="F23"/>
  <c r="C23"/>
  <c r="B23"/>
  <c r="O22"/>
  <c r="N22"/>
  <c r="K22"/>
  <c r="J22"/>
  <c r="G22"/>
  <c r="F22"/>
  <c r="C22"/>
  <c r="B22"/>
  <c r="O21"/>
  <c r="N21"/>
  <c r="K21"/>
  <c r="J21"/>
  <c r="G21"/>
  <c r="F21"/>
  <c r="C21"/>
  <c r="B21"/>
  <c r="O20"/>
  <c r="N20"/>
  <c r="K20"/>
  <c r="J20"/>
  <c r="G20"/>
  <c r="F20"/>
  <c r="C20"/>
  <c r="B20"/>
  <c r="O19"/>
  <c r="N19"/>
  <c r="K19"/>
  <c r="J19"/>
  <c r="G19"/>
  <c r="F19"/>
  <c r="C19"/>
  <c r="B19"/>
  <c r="O18"/>
  <c r="N18"/>
  <c r="K18"/>
  <c r="J18"/>
  <c r="G18"/>
  <c r="F18"/>
  <c r="C18"/>
  <c r="B18"/>
  <c r="O17"/>
  <c r="N17"/>
  <c r="K17"/>
  <c r="J17"/>
  <c r="G17"/>
  <c r="F17"/>
  <c r="C17"/>
  <c r="B17"/>
  <c r="O16"/>
  <c r="N16"/>
  <c r="K16"/>
  <c r="J16"/>
  <c r="G16"/>
  <c r="F16"/>
  <c r="C16"/>
  <c r="B16"/>
  <c r="O15"/>
  <c r="N15"/>
  <c r="K15"/>
  <c r="J15"/>
  <c r="G15"/>
  <c r="F15"/>
  <c r="C15"/>
  <c r="B15"/>
  <c r="O14"/>
  <c r="N14"/>
  <c r="K14"/>
  <c r="J14"/>
  <c r="G14"/>
  <c r="F14"/>
  <c r="C14"/>
  <c r="B14"/>
  <c r="O13"/>
  <c r="N13"/>
  <c r="K13"/>
  <c r="J13"/>
  <c r="G13"/>
  <c r="F13"/>
  <c r="C13"/>
  <c r="B13"/>
  <c r="O12"/>
  <c r="N12"/>
  <c r="K12"/>
  <c r="J12"/>
  <c r="G12"/>
  <c r="F12"/>
  <c r="C12"/>
  <c r="B12"/>
  <c r="O11"/>
  <c r="N11"/>
  <c r="K11"/>
  <c r="J11"/>
  <c r="G11"/>
  <c r="F11"/>
  <c r="C11"/>
  <c r="B11"/>
  <c r="O10"/>
  <c r="N10"/>
  <c r="K10"/>
  <c r="J10"/>
  <c r="G10"/>
  <c r="F10"/>
  <c r="C10"/>
  <c r="B10"/>
  <c r="O9"/>
  <c r="N9"/>
  <c r="K9"/>
  <c r="J9"/>
  <c r="G9"/>
  <c r="F9"/>
  <c r="C9"/>
  <c r="B9"/>
  <c r="O8"/>
  <c r="N8"/>
  <c r="K8"/>
  <c r="J8"/>
  <c r="G8"/>
  <c r="F8"/>
  <c r="C8"/>
  <c r="B8"/>
  <c r="O7"/>
  <c r="N7"/>
  <c r="K7"/>
  <c r="J7"/>
  <c r="G7"/>
  <c r="F7"/>
  <c r="C7"/>
  <c r="B7"/>
  <c r="O6"/>
  <c r="N6"/>
  <c r="K6"/>
  <c r="J6"/>
  <c r="G6"/>
  <c r="F6"/>
  <c r="C6"/>
  <c r="B6"/>
  <c r="O5"/>
  <c r="N5"/>
  <c r="K5"/>
  <c r="J5"/>
  <c r="G5"/>
  <c r="F5"/>
  <c r="C5"/>
  <c r="B5"/>
  <c r="H12" l="1"/>
  <c r="H19"/>
  <c r="H22"/>
  <c r="D27"/>
  <c r="H11"/>
  <c r="P6"/>
  <c r="P11"/>
  <c r="P22"/>
  <c r="P23"/>
  <c r="P30"/>
  <c r="D24"/>
  <c r="H27"/>
  <c r="P41"/>
  <c r="D16"/>
  <c r="D17"/>
  <c r="D19"/>
  <c r="F46"/>
  <c r="N46"/>
  <c r="P27"/>
  <c r="P28"/>
  <c r="H29"/>
  <c r="H30"/>
  <c r="D5"/>
  <c r="K46"/>
  <c r="L11"/>
  <c r="H24"/>
  <c r="P24"/>
  <c r="D35"/>
  <c r="D36"/>
  <c r="D42"/>
  <c r="H5"/>
  <c r="H7"/>
  <c r="H8"/>
  <c r="H16"/>
  <c r="P18"/>
  <c r="P21"/>
  <c r="L27"/>
  <c r="L28"/>
  <c r="H31"/>
  <c r="P31"/>
  <c r="P40"/>
  <c r="O46"/>
  <c r="L19"/>
  <c r="L20"/>
  <c r="D41"/>
  <c r="L5"/>
  <c r="B46"/>
  <c r="P5"/>
  <c r="H6"/>
  <c r="P10"/>
  <c r="L12"/>
  <c r="L13"/>
  <c r="P19"/>
  <c r="P20"/>
  <c r="H21"/>
  <c r="D25"/>
  <c r="L35"/>
  <c r="L36"/>
  <c r="H41"/>
  <c r="D9"/>
  <c r="P12"/>
  <c r="H13"/>
  <c r="P13"/>
  <c r="H14"/>
  <c r="H15"/>
  <c r="H18"/>
  <c r="D23"/>
  <c r="H25"/>
  <c r="P25"/>
  <c r="D28"/>
  <c r="D30"/>
  <c r="H32"/>
  <c r="P32"/>
  <c r="P33"/>
  <c r="H35"/>
  <c r="P35"/>
  <c r="H36"/>
  <c r="P36"/>
  <c r="H37"/>
  <c r="H38"/>
  <c r="P38"/>
  <c r="P39"/>
  <c r="G46"/>
  <c r="L9"/>
  <c r="P14"/>
  <c r="H28"/>
  <c r="D34"/>
  <c r="P37"/>
  <c r="J46"/>
  <c r="M6" s="1"/>
  <c r="L8"/>
  <c r="H9"/>
  <c r="P9"/>
  <c r="H10"/>
  <c r="D13"/>
  <c r="L15"/>
  <c r="L16"/>
  <c r="L17"/>
  <c r="H20"/>
  <c r="H23"/>
  <c r="D26"/>
  <c r="D29"/>
  <c r="L29"/>
  <c r="D32"/>
  <c r="D33"/>
  <c r="H34"/>
  <c r="P34"/>
  <c r="D37"/>
  <c r="D38"/>
  <c r="D39"/>
  <c r="H40"/>
  <c r="D43"/>
  <c r="L43"/>
  <c r="C46"/>
  <c r="P7"/>
  <c r="L30"/>
  <c r="D40"/>
  <c r="D6"/>
  <c r="P8"/>
  <c r="D12"/>
  <c r="P15"/>
  <c r="P16"/>
  <c r="H17"/>
  <c r="P17"/>
  <c r="D20"/>
  <c r="D21"/>
  <c r="H26"/>
  <c r="P26"/>
  <c r="P29"/>
  <c r="D31"/>
  <c r="H33"/>
  <c r="H39"/>
  <c r="H42"/>
  <c r="P42"/>
  <c r="H43"/>
  <c r="P43"/>
  <c r="E9" i="17"/>
  <c r="L6" i="18"/>
  <c r="L21"/>
  <c r="L23"/>
  <c r="L24"/>
  <c r="L31"/>
  <c r="L32"/>
  <c r="L39"/>
  <c r="L40"/>
  <c r="D7"/>
  <c r="L7"/>
  <c r="D10"/>
  <c r="L10"/>
  <c r="D14"/>
  <c r="L14"/>
  <c r="D18"/>
  <c r="L18"/>
  <c r="D22"/>
  <c r="L22"/>
  <c r="L37"/>
  <c r="L38"/>
  <c r="D8"/>
  <c r="D11"/>
  <c r="D15"/>
  <c r="L25"/>
  <c r="L26"/>
  <c r="L33"/>
  <c r="L34"/>
  <c r="L41"/>
  <c r="L42"/>
  <c r="Q38" l="1"/>
  <c r="Q14"/>
  <c r="Q22"/>
  <c r="Q30"/>
  <c r="M13"/>
  <c r="Q6"/>
  <c r="Q8"/>
  <c r="M25"/>
  <c r="Q40"/>
  <c r="Q32"/>
  <c r="Q24"/>
  <c r="Q16"/>
  <c r="M17"/>
  <c r="M40"/>
  <c r="M18"/>
  <c r="M29"/>
  <c r="Q42"/>
  <c r="Q34"/>
  <c r="Q26"/>
  <c r="Q18"/>
  <c r="M21"/>
  <c r="M8"/>
  <c r="M33"/>
  <c r="Q36"/>
  <c r="Q28"/>
  <c r="Q20"/>
  <c r="Q12"/>
  <c r="I12"/>
  <c r="E44"/>
  <c r="I5"/>
  <c r="E37"/>
  <c r="E22"/>
  <c r="E14"/>
  <c r="E10"/>
  <c r="I9"/>
  <c r="E43"/>
  <c r="E39"/>
  <c r="E35"/>
  <c r="E30"/>
  <c r="E26"/>
  <c r="E9"/>
  <c r="E5"/>
  <c r="Q9"/>
  <c r="Q5"/>
  <c r="M41"/>
  <c r="M37"/>
  <c r="E34"/>
  <c r="M30"/>
  <c r="M26"/>
  <c r="E23"/>
  <c r="M19"/>
  <c r="E15"/>
  <c r="E11"/>
  <c r="M7"/>
  <c r="I43"/>
  <c r="I41"/>
  <c r="I39"/>
  <c r="I37"/>
  <c r="I35"/>
  <c r="I33"/>
  <c r="I31"/>
  <c r="I29"/>
  <c r="I27"/>
  <c r="I25"/>
  <c r="I23"/>
  <c r="I21"/>
  <c r="I19"/>
  <c r="I17"/>
  <c r="I15"/>
  <c r="I13"/>
  <c r="I10"/>
  <c r="I6"/>
  <c r="E40"/>
  <c r="E36"/>
  <c r="E31"/>
  <c r="M27"/>
  <c r="M22"/>
  <c r="E18"/>
  <c r="M14"/>
  <c r="M10"/>
  <c r="M5"/>
  <c r="M44"/>
  <c r="I44"/>
  <c r="Q10"/>
  <c r="I7"/>
  <c r="M42"/>
  <c r="M38"/>
  <c r="M34"/>
  <c r="M31"/>
  <c r="E27"/>
  <c r="M23"/>
  <c r="E20"/>
  <c r="M15"/>
  <c r="E12"/>
  <c r="E8"/>
  <c r="Q43"/>
  <c r="Q41"/>
  <c r="Q39"/>
  <c r="Q37"/>
  <c r="Q35"/>
  <c r="Q33"/>
  <c r="Q31"/>
  <c r="Q29"/>
  <c r="Q27"/>
  <c r="Q25"/>
  <c r="Q23"/>
  <c r="Q21"/>
  <c r="Q19"/>
  <c r="Q17"/>
  <c r="Q15"/>
  <c r="Q13"/>
  <c r="I11"/>
  <c r="E41"/>
  <c r="M36"/>
  <c r="E32"/>
  <c r="E28"/>
  <c r="E24"/>
  <c r="E19"/>
  <c r="M16"/>
  <c r="M11"/>
  <c r="E7"/>
  <c r="Q44"/>
  <c r="Q11"/>
  <c r="I8"/>
  <c r="M43"/>
  <c r="M39"/>
  <c r="M35"/>
  <c r="M32"/>
  <c r="M28"/>
  <c r="M24"/>
  <c r="E21"/>
  <c r="E16"/>
  <c r="E13"/>
  <c r="M9"/>
  <c r="E6"/>
  <c r="I42"/>
  <c r="I40"/>
  <c r="I38"/>
  <c r="I36"/>
  <c r="I34"/>
  <c r="I32"/>
  <c r="I30"/>
  <c r="I28"/>
  <c r="I26"/>
  <c r="I24"/>
  <c r="I22"/>
  <c r="I20"/>
  <c r="I18"/>
  <c r="I16"/>
  <c r="I14"/>
  <c r="Q7"/>
  <c r="E42"/>
  <c r="E38"/>
  <c r="E33"/>
  <c r="E29"/>
  <c r="E25"/>
  <c r="M20"/>
  <c r="E17"/>
  <c r="M12"/>
  <c r="P46"/>
  <c r="L46"/>
  <c r="H46"/>
  <c r="D46"/>
  <c r="R38" l="1"/>
  <c r="S38" s="1"/>
  <c r="C40" i="17" s="1"/>
  <c r="R13" i="18"/>
  <c r="S13" s="1"/>
  <c r="C15" i="17" s="1"/>
  <c r="R7" i="18"/>
  <c r="S7" s="1"/>
  <c r="C8" i="17" s="1"/>
  <c r="R44" i="18"/>
  <c r="T38"/>
  <c r="D40" i="17" s="1"/>
  <c r="T13" i="18"/>
  <c r="D15" i="17" s="1"/>
  <c r="T7" i="18"/>
  <c r="D8" i="17" s="1"/>
  <c r="T44" i="18"/>
  <c r="D46" i="17" s="1"/>
  <c r="S44" i="18"/>
  <c r="C46" i="17" s="1"/>
  <c r="R25" i="18"/>
  <c r="R42"/>
  <c r="R16"/>
  <c r="R15"/>
  <c r="R22"/>
  <c r="R20"/>
  <c r="R9"/>
  <c r="R14"/>
  <c r="R28"/>
  <c r="R12"/>
  <c r="R5"/>
  <c r="E46"/>
  <c r="Q46"/>
  <c r="R26"/>
  <c r="R43"/>
  <c r="R24"/>
  <c r="R41"/>
  <c r="M46"/>
  <c r="R40"/>
  <c r="R11"/>
  <c r="R39"/>
  <c r="R17"/>
  <c r="R33"/>
  <c r="R19"/>
  <c r="R27"/>
  <c r="R18"/>
  <c r="R36"/>
  <c r="R23"/>
  <c r="R35"/>
  <c r="R10"/>
  <c r="I46"/>
  <c r="R29"/>
  <c r="R6"/>
  <c r="R21"/>
  <c r="R32"/>
  <c r="R8"/>
  <c r="R31"/>
  <c r="R34"/>
  <c r="R30"/>
  <c r="R37"/>
  <c r="E46" i="17" l="1"/>
  <c r="E15"/>
  <c r="T31" i="18"/>
  <c r="D33" i="17" s="1"/>
  <c r="S31" i="18"/>
  <c r="C33" i="17" s="1"/>
  <c r="T35" i="18"/>
  <c r="D37" i="17" s="1"/>
  <c r="S35" i="18"/>
  <c r="C37" i="17" s="1"/>
  <c r="T21" i="18"/>
  <c r="D23" i="17" s="1"/>
  <c r="S21" i="18"/>
  <c r="C23" i="17" s="1"/>
  <c r="T10" i="18"/>
  <c r="D12" i="17" s="1"/>
  <c r="S10" i="18"/>
  <c r="C12" i="17" s="1"/>
  <c r="T18" i="18"/>
  <c r="D20" i="17" s="1"/>
  <c r="S18" i="18"/>
  <c r="C20" i="17" s="1"/>
  <c r="T17" i="18"/>
  <c r="D19" i="17" s="1"/>
  <c r="S17" i="18"/>
  <c r="C19" i="17" s="1"/>
  <c r="T26" i="18"/>
  <c r="D28" i="17" s="1"/>
  <c r="S26" i="18"/>
  <c r="C28" i="17" s="1"/>
  <c r="T12" i="18"/>
  <c r="D14" i="17" s="1"/>
  <c r="S12" i="18"/>
  <c r="C14" i="17" s="1"/>
  <c r="T20" i="18"/>
  <c r="D22" i="17" s="1"/>
  <c r="S20" i="18"/>
  <c r="C22" i="17" s="1"/>
  <c r="T42" i="18"/>
  <c r="D44" i="17" s="1"/>
  <c r="S42" i="18"/>
  <c r="C44" i="17" s="1"/>
  <c r="T30" i="18"/>
  <c r="D32" i="17" s="1"/>
  <c r="S30" i="18"/>
  <c r="C32" i="17" s="1"/>
  <c r="T32" i="18"/>
  <c r="D34" i="17" s="1"/>
  <c r="S32" i="18"/>
  <c r="C34" i="17" s="1"/>
  <c r="T36" i="18"/>
  <c r="D38" i="17" s="1"/>
  <c r="S36" i="18"/>
  <c r="C38" i="17" s="1"/>
  <c r="T33" i="18"/>
  <c r="D35" i="17" s="1"/>
  <c r="S33" i="18"/>
  <c r="C35" i="17" s="1"/>
  <c r="T40" i="18"/>
  <c r="D42" i="17" s="1"/>
  <c r="S40" i="18"/>
  <c r="C42" i="17" s="1"/>
  <c r="T43" i="18"/>
  <c r="D45" i="17" s="1"/>
  <c r="S43" i="18"/>
  <c r="C45" i="17" s="1"/>
  <c r="T5" i="18"/>
  <c r="D6" i="17" s="1"/>
  <c r="S5" i="18"/>
  <c r="C6" i="17" s="1"/>
  <c r="T9" i="18"/>
  <c r="D11" i="17" s="1"/>
  <c r="S9" i="18"/>
  <c r="C11" i="17" s="1"/>
  <c r="T16" i="18"/>
  <c r="D18" i="17" s="1"/>
  <c r="S16" i="18"/>
  <c r="C18" i="17" s="1"/>
  <c r="E8"/>
  <c r="E40"/>
  <c r="T6" i="18"/>
  <c r="D7" i="17" s="1"/>
  <c r="S6" i="18"/>
  <c r="C7" i="17" s="1"/>
  <c r="T27" i="18"/>
  <c r="D29" i="17" s="1"/>
  <c r="S27" i="18"/>
  <c r="C29" i="17" s="1"/>
  <c r="T39" i="18"/>
  <c r="D41" i="17" s="1"/>
  <c r="S39" i="18"/>
  <c r="C41" i="17" s="1"/>
  <c r="T41" i="18"/>
  <c r="D43" i="17" s="1"/>
  <c r="S41" i="18"/>
  <c r="C43" i="17" s="1"/>
  <c r="T28" i="18"/>
  <c r="D30" i="17" s="1"/>
  <c r="S28" i="18"/>
  <c r="C30" i="17" s="1"/>
  <c r="T22" i="18"/>
  <c r="D24" i="17" s="1"/>
  <c r="S22" i="18"/>
  <c r="C24" i="17" s="1"/>
  <c r="T25" i="18"/>
  <c r="D27" i="17" s="1"/>
  <c r="S25" i="18"/>
  <c r="C27" i="17" s="1"/>
  <c r="T34" i="18"/>
  <c r="D36" i="17" s="1"/>
  <c r="S34" i="18"/>
  <c r="C36" i="17" s="1"/>
  <c r="T37" i="18"/>
  <c r="D39" i="17" s="1"/>
  <c r="S37" i="18"/>
  <c r="C39" i="17" s="1"/>
  <c r="T8" i="18"/>
  <c r="S8"/>
  <c r="T29"/>
  <c r="D31" i="17" s="1"/>
  <c r="S29" i="18"/>
  <c r="C31" i="17" s="1"/>
  <c r="T23" i="18"/>
  <c r="D25" i="17" s="1"/>
  <c r="S23" i="18"/>
  <c r="C25" i="17" s="1"/>
  <c r="T19" i="18"/>
  <c r="D21" i="17" s="1"/>
  <c r="S19" i="18"/>
  <c r="C21" i="17" s="1"/>
  <c r="T11" i="18"/>
  <c r="D13" i="17" s="1"/>
  <c r="S11" i="18"/>
  <c r="C13" i="17" s="1"/>
  <c r="T24" i="18"/>
  <c r="D26" i="17" s="1"/>
  <c r="S24" i="18"/>
  <c r="C26" i="17" s="1"/>
  <c r="T14" i="18"/>
  <c r="D16" i="17" s="1"/>
  <c r="S14" i="18"/>
  <c r="C16" i="17" s="1"/>
  <c r="T15" i="18"/>
  <c r="D17" i="17" s="1"/>
  <c r="S15" i="18"/>
  <c r="C17" i="17" s="1"/>
  <c r="R46" i="18"/>
  <c r="E16" i="17" l="1"/>
  <c r="E13"/>
  <c r="E25"/>
  <c r="E36"/>
  <c r="E24"/>
  <c r="E43"/>
  <c r="E29"/>
  <c r="E11"/>
  <c r="E45"/>
  <c r="E35"/>
  <c r="E34"/>
  <c r="E44"/>
  <c r="E14"/>
  <c r="E19"/>
  <c r="E12"/>
  <c r="E37"/>
  <c r="C47"/>
  <c r="E6"/>
  <c r="D47"/>
  <c r="E17"/>
  <c r="E26"/>
  <c r="E31"/>
  <c r="E39"/>
  <c r="E27"/>
  <c r="E30"/>
  <c r="E41"/>
  <c r="E7"/>
  <c r="E18"/>
  <c r="E42"/>
  <c r="E38"/>
  <c r="E32"/>
  <c r="E22"/>
  <c r="E28"/>
  <c r="E20"/>
  <c r="E23"/>
  <c r="E33"/>
  <c r="T46" i="18"/>
  <c r="E21" i="17"/>
  <c r="S46" i="18"/>
  <c r="E47" i="17" l="1"/>
</calcChain>
</file>

<file path=xl/comments1.xml><?xml version="1.0" encoding="utf-8"?>
<comments xmlns="http://schemas.openxmlformats.org/spreadsheetml/2006/main">
  <authors>
    <author>전현복</author>
  </authors>
  <commentList>
    <comment ref="U5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6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U8" authorId="0">
      <text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유치국</t>
        </r>
      </text>
    </comment>
    <comment ref="V8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12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U15" authorId="0">
      <text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유치국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U16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U17" authorId="0">
      <text>
        <r>
          <rPr>
            <sz val="9"/>
            <color indexed="81"/>
            <rFont val="돋움"/>
            <family val="3"/>
            <charset val="129"/>
          </rPr>
          <t>고객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법인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유치국</t>
        </r>
      </text>
    </comment>
    <comment ref="U18" authorId="0">
      <text>
        <r>
          <rPr>
            <b/>
            <sz val="9"/>
            <color indexed="81"/>
            <rFont val="돋움"/>
            <family val="3"/>
            <charset val="129"/>
          </rPr>
          <t>우편과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U20" authorId="0">
      <text>
        <r>
          <rPr>
            <b/>
            <sz val="9"/>
            <color indexed="81"/>
            <rFont val="돋움"/>
            <family val="3"/>
            <charset val="129"/>
          </rPr>
          <t>우편과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24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32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33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36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40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  <comment ref="V42" authorId="0">
      <text>
        <r>
          <rPr>
            <b/>
            <sz val="9"/>
            <color indexed="81"/>
            <rFont val="돋움"/>
            <family val="3"/>
            <charset val="129"/>
          </rPr>
          <t>연계실적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우수국으로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결합마케팅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지원</t>
        </r>
      </text>
    </comment>
  </commentList>
</comments>
</file>

<file path=xl/sharedStrings.xml><?xml version="1.0" encoding="utf-8"?>
<sst xmlns="http://schemas.openxmlformats.org/spreadsheetml/2006/main" count="1005" uniqueCount="268">
  <si>
    <t>순위</t>
  </si>
  <si>
    <t>목표</t>
  </si>
  <si>
    <t>실적</t>
  </si>
  <si>
    <t>달성률</t>
  </si>
  <si>
    <t>인천</t>
  </si>
  <si>
    <t>서인천</t>
  </si>
  <si>
    <t>인천계양</t>
  </si>
  <si>
    <t>남인천</t>
  </si>
  <si>
    <t>부평</t>
  </si>
  <si>
    <t>의정부</t>
  </si>
  <si>
    <t>수원</t>
  </si>
  <si>
    <t>동수원</t>
  </si>
  <si>
    <t>서수원</t>
  </si>
  <si>
    <t>군포</t>
  </si>
  <si>
    <t>안양</t>
  </si>
  <si>
    <t>성남</t>
  </si>
  <si>
    <t>성남분당</t>
  </si>
  <si>
    <t>부천</t>
  </si>
  <si>
    <t>안산</t>
  </si>
  <si>
    <t>고양일산</t>
  </si>
  <si>
    <t>고양덕양</t>
  </si>
  <si>
    <t>시흥</t>
  </si>
  <si>
    <t>광명</t>
  </si>
  <si>
    <t>용인수지</t>
  </si>
  <si>
    <t>남양주</t>
  </si>
  <si>
    <t>평택</t>
  </si>
  <si>
    <t>용인</t>
  </si>
  <si>
    <t>화성</t>
  </si>
  <si>
    <t>파주</t>
  </si>
  <si>
    <t>김포</t>
  </si>
  <si>
    <t>포천</t>
  </si>
  <si>
    <t>강화</t>
  </si>
  <si>
    <t>양평</t>
  </si>
  <si>
    <t>가평</t>
  </si>
  <si>
    <t>경기광주</t>
  </si>
  <si>
    <t>이천</t>
  </si>
  <si>
    <t>여주</t>
  </si>
  <si>
    <t>안성</t>
  </si>
  <si>
    <t>동두천</t>
  </si>
  <si>
    <t>연천</t>
  </si>
  <si>
    <t>오산</t>
  </si>
  <si>
    <t>백령</t>
  </si>
  <si>
    <t>하남</t>
  </si>
  <si>
    <t>구리</t>
  </si>
  <si>
    <t>국 명</t>
    <phoneticPr fontId="26" type="noConversion"/>
  </si>
  <si>
    <t>합계</t>
    <phoneticPr fontId="26" type="noConversion"/>
  </si>
  <si>
    <t>예금총수신고</t>
  </si>
  <si>
    <t>요구불예금수신고</t>
  </si>
  <si>
    <t>전년도</t>
  </si>
  <si>
    <t>전년대비</t>
  </si>
  <si>
    <t>당일실적</t>
  </si>
  <si>
    <t>예사평득점</t>
  </si>
  <si>
    <t>연평잔고</t>
  </si>
  <si>
    <t>1분기평잔</t>
  </si>
  <si>
    <t>분기대비</t>
  </si>
  <si>
    <t>경평득점</t>
  </si>
  <si>
    <t>유지잔액</t>
  </si>
  <si>
    <t>일연평잔고</t>
  </si>
  <si>
    <t>일반예금</t>
  </si>
  <si>
    <t>요구불예금</t>
  </si>
  <si>
    <t>타부처국고예금</t>
  </si>
  <si>
    <t>실적우편대체</t>
  </si>
  <si>
    <t>Total</t>
  </si>
  <si>
    <t>인천남동</t>
  </si>
  <si>
    <t>국명</t>
  </si>
  <si>
    <t>가맹점 수수료 세입</t>
  </si>
  <si>
    <t>신규카드세입</t>
  </si>
  <si>
    <t>경영평가(4)</t>
  </si>
  <si>
    <t>메트릭</t>
  </si>
  <si>
    <t>가맹점수수료</t>
  </si>
  <si>
    <t>가맹점수수료(신규카드,일)</t>
  </si>
  <si>
    <t>가입자수</t>
  </si>
  <si>
    <t>총가입자수</t>
  </si>
  <si>
    <t>총약정자수(MAC중복건수제외)</t>
  </si>
  <si>
    <t>최근3개월내 실제이용자수</t>
  </si>
  <si>
    <t>우량가입자수</t>
  </si>
  <si>
    <t>안양우편물류센터</t>
  </si>
  <si>
    <t>미확인(경인청)</t>
  </si>
  <si>
    <t>목표</t>
    <phoneticPr fontId="2" type="noConversion"/>
  </si>
  <si>
    <t>실적</t>
    <phoneticPr fontId="2" type="noConversion"/>
  </si>
  <si>
    <t>달성율</t>
    <phoneticPr fontId="2" type="noConversion"/>
  </si>
  <si>
    <t>예금총수신고(10)</t>
    <phoneticPr fontId="26" type="noConversion"/>
  </si>
  <si>
    <t>요구불예금수신고(40)</t>
    <phoneticPr fontId="2" type="noConversion"/>
  </si>
  <si>
    <t>체크카드(30)</t>
    <phoneticPr fontId="2" type="noConversion"/>
  </si>
  <si>
    <t>스마트금융(20)</t>
    <phoneticPr fontId="2" type="noConversion"/>
  </si>
  <si>
    <t>인천남동</t>
    <phoneticPr fontId="2" type="noConversion"/>
  </si>
  <si>
    <t>비  고</t>
    <phoneticPr fontId="2" type="noConversion"/>
  </si>
  <si>
    <t>210-01
(일반수용비)</t>
    <phoneticPr fontId="35" type="noConversion"/>
  </si>
  <si>
    <t>310-03
(포상금)</t>
    <phoneticPr fontId="35" type="noConversion"/>
  </si>
  <si>
    <t>소   계</t>
    <phoneticPr fontId="2" type="noConversion"/>
  </si>
  <si>
    <t>인천남동</t>
    <phoneticPr fontId="26" type="noConversion"/>
  </si>
  <si>
    <t>의정부</t>
    <phoneticPr fontId="26" type="noConversion"/>
  </si>
  <si>
    <t>부평</t>
    <phoneticPr fontId="26" type="noConversion"/>
  </si>
  <si>
    <t>수원</t>
    <phoneticPr fontId="26" type="noConversion"/>
  </si>
  <si>
    <t>동수원</t>
    <phoneticPr fontId="26" type="noConversion"/>
  </si>
  <si>
    <t>서수원</t>
    <phoneticPr fontId="26" type="noConversion"/>
  </si>
  <si>
    <t>용인</t>
    <phoneticPr fontId="26" type="noConversion"/>
  </si>
  <si>
    <t>남양주</t>
    <phoneticPr fontId="26" type="noConversion"/>
  </si>
  <si>
    <t>평택</t>
    <phoneticPr fontId="26" type="noConversion"/>
  </si>
  <si>
    <t>화성</t>
    <phoneticPr fontId="26" type="noConversion"/>
  </si>
  <si>
    <t>이천</t>
    <phoneticPr fontId="26" type="noConversion"/>
  </si>
  <si>
    <t>안성</t>
    <phoneticPr fontId="26" type="noConversion"/>
  </si>
  <si>
    <t>포천</t>
    <phoneticPr fontId="26" type="noConversion"/>
  </si>
  <si>
    <t>경기광주</t>
    <phoneticPr fontId="26" type="noConversion"/>
  </si>
  <si>
    <t>구리</t>
    <phoneticPr fontId="26" type="noConversion"/>
  </si>
  <si>
    <t>강화</t>
    <phoneticPr fontId="26" type="noConversion"/>
  </si>
  <si>
    <t>가평</t>
    <phoneticPr fontId="26" type="noConversion"/>
  </si>
  <si>
    <t>양평</t>
    <phoneticPr fontId="26" type="noConversion"/>
  </si>
  <si>
    <t>여주</t>
    <phoneticPr fontId="26" type="noConversion"/>
  </si>
  <si>
    <t>동두천</t>
    <phoneticPr fontId="26" type="noConversion"/>
  </si>
  <si>
    <t>연천</t>
    <phoneticPr fontId="26" type="noConversion"/>
  </si>
  <si>
    <t>백령</t>
    <phoneticPr fontId="26" type="noConversion"/>
  </si>
  <si>
    <t>오산</t>
    <phoneticPr fontId="26" type="noConversion"/>
  </si>
  <si>
    <t>하남</t>
    <phoneticPr fontId="26" type="noConversion"/>
  </si>
  <si>
    <t>합 계</t>
    <phoneticPr fontId="2" type="noConversion"/>
  </si>
  <si>
    <t>구   분</t>
    <phoneticPr fontId="2" type="noConversion"/>
  </si>
  <si>
    <t>합계
(A+B+C+D)</t>
    <phoneticPr fontId="2" type="noConversion"/>
  </si>
  <si>
    <t>(단위 : 천 원)</t>
    <phoneticPr fontId="2" type="noConversion"/>
  </si>
  <si>
    <t>총괄국별 예산 배정 내역</t>
    <phoneticPr fontId="35" type="noConversion"/>
  </si>
  <si>
    <t>5231-362-210-01
수용비
(천원)</t>
    <phoneticPr fontId="2" type="noConversion"/>
  </si>
  <si>
    <t>5231-362-310-03
포상금
(천원)</t>
    <phoneticPr fontId="2" type="noConversion"/>
  </si>
  <si>
    <t>(단위 : 백만원, 명, 점, %)</t>
    <phoneticPr fontId="2" type="noConversion"/>
  </si>
  <si>
    <t>목표
(천원)</t>
    <phoneticPr fontId="2" type="noConversion"/>
  </si>
  <si>
    <t>실적
(천원)</t>
    <phoneticPr fontId="2" type="noConversion"/>
  </si>
  <si>
    <r>
      <t xml:space="preserve">가중치
(40)
</t>
    </r>
    <r>
      <rPr>
        <b/>
        <sz val="11"/>
        <color rgb="FF0000FF"/>
        <rFont val="돋움"/>
        <family val="3"/>
        <charset val="129"/>
      </rPr>
      <t>B</t>
    </r>
    <phoneticPr fontId="2" type="noConversion"/>
  </si>
  <si>
    <r>
      <t xml:space="preserve">가중치소계
(30)
</t>
    </r>
    <r>
      <rPr>
        <b/>
        <sz val="11"/>
        <color rgb="FF0000FF"/>
        <rFont val="돋움"/>
        <family val="3"/>
        <charset val="129"/>
      </rPr>
      <t>C</t>
    </r>
    <phoneticPr fontId="2" type="noConversion"/>
  </si>
  <si>
    <r>
      <t xml:space="preserve">가중치소계(20)
</t>
    </r>
    <r>
      <rPr>
        <b/>
        <sz val="11"/>
        <color rgb="FF0000FF"/>
        <rFont val="돋움"/>
        <family val="3"/>
        <charset val="129"/>
      </rPr>
      <t>D</t>
    </r>
    <phoneticPr fontId="2" type="noConversion"/>
  </si>
  <si>
    <t>2015년도 예금사업 실적 현황(수신고)</t>
    <phoneticPr fontId="26" type="noConversion"/>
  </si>
  <si>
    <t>(단위 : 백만원, %, 점)</t>
  </si>
  <si>
    <t>구분</t>
  </si>
  <si>
    <t>국 명</t>
  </si>
  <si>
    <t>예사평계산</t>
  </si>
  <si>
    <t>만점여부</t>
  </si>
  <si>
    <t>예사평가점</t>
  </si>
  <si>
    <t>가그룹</t>
  </si>
  <si>
    <t>요구불연평</t>
  </si>
  <si>
    <t>요구불유지잔액</t>
  </si>
  <si>
    <t>나그룹</t>
  </si>
  <si>
    <t>다그룹</t>
  </si>
  <si>
    <t>수신고</t>
  </si>
  <si>
    <t>라그룹</t>
  </si>
  <si>
    <t>마그룹</t>
  </si>
  <si>
    <t>total</t>
  </si>
  <si>
    <t>경평계산득점</t>
  </si>
  <si>
    <t>가점</t>
  </si>
  <si>
    <t>전일실적</t>
  </si>
  <si>
    <t>연평</t>
  </si>
  <si>
    <t>2015년도 예금사업 실적 현황(체크카드)</t>
    <phoneticPr fontId="26" type="noConversion"/>
  </si>
  <si>
    <t>(단위 : 천원,%,점)</t>
  </si>
  <si>
    <t>당일</t>
  </si>
  <si>
    <t>경영평가
(4)</t>
    <phoneticPr fontId="26" type="noConversion"/>
  </si>
  <si>
    <t>예사평
(30)</t>
    <phoneticPr fontId="26" type="noConversion"/>
  </si>
  <si>
    <t>전체</t>
  </si>
  <si>
    <t>신규세입</t>
  </si>
  <si>
    <t>당일
 실적</t>
    <phoneticPr fontId="26" type="noConversion"/>
  </si>
  <si>
    <t>신규카드
세입</t>
    <phoneticPr fontId="26" type="noConversion"/>
  </si>
  <si>
    <t>신규카드
 세입비중</t>
    <phoneticPr fontId="26" type="noConversion"/>
  </si>
  <si>
    <t>경평
 감점</t>
    <phoneticPr fontId="26" type="noConversion"/>
  </si>
  <si>
    <t>예사평
감점</t>
    <phoneticPr fontId="26" type="noConversion"/>
  </si>
  <si>
    <t xml:space="preserve"> </t>
  </si>
  <si>
    <t>전일</t>
  </si>
  <si>
    <t>2015년도 예금사업 실적 현황(스마트금융)</t>
    <phoneticPr fontId="26" type="noConversion"/>
  </si>
  <si>
    <t>(단위: 명, %, 점)</t>
  </si>
  <si>
    <t>우량가입자</t>
  </si>
  <si>
    <t>감점</t>
  </si>
  <si>
    <t>예사평(30)</t>
  </si>
  <si>
    <t>우량가입자율</t>
  </si>
  <si>
    <t>경영평가</t>
  </si>
  <si>
    <t>예사평</t>
  </si>
  <si>
    <t>2014년도이후 가입자</t>
  </si>
  <si>
    <t>총약정자</t>
  </si>
  <si>
    <t>우량이용자율</t>
  </si>
  <si>
    <t>기타</t>
  </si>
  <si>
    <t>`</t>
  </si>
  <si>
    <t xml:space="preserve">연계 </t>
  </si>
  <si>
    <t>미연계</t>
  </si>
  <si>
    <t>연계 재계</t>
  </si>
  <si>
    <t>2개</t>
  </si>
  <si>
    <t>3개</t>
  </si>
  <si>
    <t>-</t>
  </si>
  <si>
    <t xml:space="preserve">- </t>
  </si>
  <si>
    <t xml:space="preserve">안성 </t>
  </si>
  <si>
    <t xml:space="preserve">인천남동 </t>
  </si>
  <si>
    <t xml:space="preserve">화성 </t>
  </si>
  <si>
    <t xml:space="preserve">하남 </t>
  </si>
  <si>
    <t xml:space="preserve">구리 </t>
  </si>
  <si>
    <t>고액 법인 유치국</t>
    <phoneticPr fontId="2" type="noConversion"/>
  </si>
  <si>
    <t>남인천</t>
    <phoneticPr fontId="2" type="noConversion"/>
  </si>
  <si>
    <t>가중치
소계
(A+B+C+D)</t>
    <phoneticPr fontId="2" type="noConversion"/>
  </si>
  <si>
    <r>
      <t xml:space="preserve">가중치소계
(20)
</t>
    </r>
    <r>
      <rPr>
        <b/>
        <sz val="11"/>
        <color rgb="FF0000FF"/>
        <rFont val="돋움"/>
        <family val="3"/>
        <charset val="129"/>
      </rPr>
      <t>D</t>
    </r>
    <phoneticPr fontId="2" type="noConversion"/>
  </si>
  <si>
    <t>점유비</t>
    <phoneticPr fontId="2" type="noConversion"/>
  </si>
  <si>
    <r>
      <t xml:space="preserve">가중치소계
(30)
</t>
    </r>
    <r>
      <rPr>
        <b/>
        <sz val="11"/>
        <color rgb="FF0000FF"/>
        <rFont val="돋움"/>
        <family val="3"/>
        <charset val="129"/>
      </rPr>
      <t>C</t>
    </r>
    <phoneticPr fontId="2" type="noConversion"/>
  </si>
  <si>
    <t>소계</t>
    <phoneticPr fontId="2" type="noConversion"/>
  </si>
  <si>
    <t>(단위 : 천원, %)</t>
    <phoneticPr fontId="2" type="noConversion"/>
  </si>
  <si>
    <r>
      <t xml:space="preserve">가중치
(10)
</t>
    </r>
    <r>
      <rPr>
        <b/>
        <sz val="11"/>
        <color rgb="FF0000FF"/>
        <rFont val="돋움"/>
        <family val="3"/>
        <charset val="129"/>
      </rPr>
      <t>A</t>
    </r>
    <phoneticPr fontId="2" type="noConversion"/>
  </si>
  <si>
    <t>국  명</t>
    <phoneticPr fontId="2" type="noConversion"/>
  </si>
  <si>
    <t>예금수신고 실적(E)</t>
    <phoneticPr fontId="2" type="noConversion"/>
  </si>
  <si>
    <t>실   적</t>
    <phoneticPr fontId="2" type="noConversion"/>
  </si>
  <si>
    <t>점유비</t>
    <phoneticPr fontId="2" type="noConversion"/>
  </si>
  <si>
    <t>수용비 예산</t>
    <phoneticPr fontId="2" type="noConversion"/>
  </si>
  <si>
    <t>요구불예금 실적(F)</t>
    <phoneticPr fontId="2" type="noConversion"/>
  </si>
  <si>
    <t>체크카드(G)</t>
    <phoneticPr fontId="2" type="noConversion"/>
  </si>
  <si>
    <t>포상금 예산</t>
    <phoneticPr fontId="2" type="noConversion"/>
  </si>
  <si>
    <t>국명</t>
    <phoneticPr fontId="2" type="noConversion"/>
  </si>
  <si>
    <t>예산 소계</t>
    <phoneticPr fontId="2" type="noConversion"/>
  </si>
  <si>
    <t>국   명</t>
    <phoneticPr fontId="2" type="noConversion"/>
  </si>
  <si>
    <t>총괄국별 우수고객 연계 우수국 예산 배정 내역</t>
    <phoneticPr fontId="2" type="noConversion"/>
  </si>
  <si>
    <t>기본 배정</t>
    <phoneticPr fontId="2" type="noConversion"/>
  </si>
  <si>
    <t>240-01
(업무추진비)</t>
    <phoneticPr fontId="2" type="noConversion"/>
  </si>
  <si>
    <t>240-01
(업무추진비)</t>
    <phoneticPr fontId="2" type="noConversion"/>
  </si>
  <si>
    <t>조사
 건수</t>
    <phoneticPr fontId="2" type="noConversion"/>
  </si>
  <si>
    <t>건수</t>
    <phoneticPr fontId="2" type="noConversion"/>
  </si>
  <si>
    <t>연계율</t>
    <phoneticPr fontId="2" type="noConversion"/>
  </si>
  <si>
    <t xml:space="preserve">4개 </t>
    <phoneticPr fontId="2" type="noConversion"/>
  </si>
  <si>
    <t xml:space="preserve">5개 </t>
    <phoneticPr fontId="2" type="noConversion"/>
  </si>
  <si>
    <t>5231-361-240-01
업무추진비</t>
    <phoneticPr fontId="2" type="noConversion"/>
  </si>
  <si>
    <t>수원</t>
    <phoneticPr fontId="2" type="noConversion"/>
  </si>
  <si>
    <t>시범국</t>
    <phoneticPr fontId="2" type="noConversion"/>
  </si>
  <si>
    <t>서수원</t>
    <phoneticPr fontId="2" type="noConversion"/>
  </si>
  <si>
    <t>동수원</t>
    <phoneticPr fontId="2" type="noConversion"/>
  </si>
  <si>
    <t>1차
10국</t>
    <phoneticPr fontId="2" type="noConversion"/>
  </si>
  <si>
    <t>성남분당</t>
    <phoneticPr fontId="2" type="noConversion"/>
  </si>
  <si>
    <t>평택</t>
    <phoneticPr fontId="2" type="noConversion"/>
  </si>
  <si>
    <t>부천</t>
    <phoneticPr fontId="2" type="noConversion"/>
  </si>
  <si>
    <t>안산</t>
    <phoneticPr fontId="2" type="noConversion"/>
  </si>
  <si>
    <t>인천</t>
    <phoneticPr fontId="2" type="noConversion"/>
  </si>
  <si>
    <t>안양</t>
    <phoneticPr fontId="2" type="noConversion"/>
  </si>
  <si>
    <t>-</t>
    <phoneticPr fontId="2" type="noConversion"/>
  </si>
  <si>
    <t>부평</t>
    <phoneticPr fontId="2" type="noConversion"/>
  </si>
  <si>
    <t>성남</t>
    <phoneticPr fontId="2" type="noConversion"/>
  </si>
  <si>
    <t>의정부</t>
    <phoneticPr fontId="2" type="noConversion"/>
  </si>
  <si>
    <t>전관서
확대
후
조사국</t>
    <phoneticPr fontId="2" type="noConversion"/>
  </si>
  <si>
    <t>소계</t>
    <phoneticPr fontId="2" type="noConversion"/>
  </si>
  <si>
    <t>연계율 40%이상국</t>
    <phoneticPr fontId="2" type="noConversion"/>
  </si>
  <si>
    <t>합계</t>
    <phoneticPr fontId="26" type="noConversion"/>
  </si>
  <si>
    <t>5231-361
(예금사업운영)</t>
    <phoneticPr fontId="2" type="noConversion"/>
  </si>
  <si>
    <t>5231-366
(금융서비스지원)</t>
    <phoneticPr fontId="2" type="noConversion"/>
  </si>
  <si>
    <t>5231-362
(예금영업지원)</t>
    <phoneticPr fontId="35" type="noConversion"/>
  </si>
  <si>
    <t>예금총수신고
(10)</t>
    <phoneticPr fontId="26" type="noConversion"/>
  </si>
  <si>
    <t>요구불예금수신고
(40)</t>
    <phoneticPr fontId="2" type="noConversion"/>
  </si>
  <si>
    <t>체크카드
(30)</t>
    <phoneticPr fontId="2" type="noConversion"/>
  </si>
  <si>
    <t>스마트금융
(20)</t>
    <phoneticPr fontId="2" type="noConversion"/>
  </si>
  <si>
    <t>5231-362
-210-01
수용비</t>
    <phoneticPr fontId="2" type="noConversion"/>
  </si>
  <si>
    <t>5231-362
-310-03
포상금</t>
    <phoneticPr fontId="2" type="noConversion"/>
  </si>
  <si>
    <t>남인천과 인천남동 예산배정 세부 내역</t>
    <phoneticPr fontId="35" type="noConversion"/>
  </si>
  <si>
    <t>수용비 예산 배분</t>
    <phoneticPr fontId="2" type="noConversion"/>
  </si>
  <si>
    <t>포상금 예산 배분</t>
    <phoneticPr fontId="2" type="noConversion"/>
  </si>
  <si>
    <t>구분</t>
    <phoneticPr fontId="26" type="noConversion"/>
  </si>
  <si>
    <t>실적 가중치</t>
    <phoneticPr fontId="2" type="noConversion"/>
  </si>
  <si>
    <t>스마트금융(H)</t>
    <phoneticPr fontId="2" type="noConversion"/>
  </si>
  <si>
    <t>예금수신고, 요구불예금, 체크카드, 
스마트금융
예산 소계(E+F+G+H)</t>
    <phoneticPr fontId="2" type="noConversion"/>
  </si>
  <si>
    <t>남인천</t>
    <phoneticPr fontId="2" type="noConversion"/>
  </si>
  <si>
    <t>인천남동</t>
    <phoneticPr fontId="2" type="noConversion"/>
  </si>
  <si>
    <t>연계우수, 법인예금</t>
    <phoneticPr fontId="2" type="noConversion"/>
  </si>
  <si>
    <t>결합마케팅 지원</t>
    <phoneticPr fontId="2" type="noConversion"/>
  </si>
  <si>
    <t>남인천과 실적 분리 후 별도 산출</t>
    <phoneticPr fontId="2" type="noConversion"/>
  </si>
  <si>
    <t>조사
구분</t>
    <phoneticPr fontId="2" type="noConversion"/>
  </si>
  <si>
    <t>법인예금</t>
    <phoneticPr fontId="2" type="noConversion"/>
  </si>
  <si>
    <t>결합마케팅지원, 법인예금</t>
    <phoneticPr fontId="2" type="noConversion"/>
  </si>
  <si>
    <t>5231-366-240-01
업무추진비(천원)</t>
    <phoneticPr fontId="2" type="noConversion"/>
  </si>
  <si>
    <t>5231-361-240-01
업무추진비
소계(천원)
(E+F+G)</t>
    <phoneticPr fontId="2" type="noConversion"/>
  </si>
  <si>
    <t xml:space="preserve"> 연계실적 우수국 및 우편과 결합마케팅 지원, 고액 법인 유치국</t>
    <phoneticPr fontId="2" type="noConversion"/>
  </si>
  <si>
    <t>연계우수국 지원</t>
    <phoneticPr fontId="2" type="noConversion"/>
  </si>
  <si>
    <t>연계우수국 지원</t>
    <phoneticPr fontId="2" type="noConversion"/>
  </si>
  <si>
    <t>5231-361-240-01
업무추진비(천원)(E)</t>
    <phoneticPr fontId="2" type="noConversion"/>
  </si>
  <si>
    <t>5231-361-240-01
업무추진비(천원)(F)</t>
    <phoneticPr fontId="2" type="noConversion"/>
  </si>
  <si>
    <t>5231-361-240-01
업무추진비(천원)(G)</t>
    <phoneticPr fontId="2" type="noConversion"/>
  </si>
  <si>
    <t>우체국예금 마케팅 기본예산 추가 배정내역</t>
    <phoneticPr fontId="2" type="noConversion"/>
  </si>
</sst>
</file>

<file path=xl/styles.xml><?xml version="1.0" encoding="utf-8"?>
<styleSheet xmlns="http://schemas.openxmlformats.org/spreadsheetml/2006/main">
  <numFmts count="19">
    <numFmt numFmtId="41" formatCode="_-* #,##0_-;\-* #,##0_-;_-* &quot;-&quot;_-;_-@_-"/>
    <numFmt numFmtId="43" formatCode="_-* #,##0.00_-;\-* #,##0.00_-;_-* &quot;-&quot;??_-;_-@_-"/>
    <numFmt numFmtId="176" formatCode="_-* #,##0.0_-;\-* #,##0.0_-;_-* &quot;-&quot;_-;_-@_-"/>
    <numFmt numFmtId="177" formatCode="_-* #,##0.000_-;\-* #,##0.000_-;_-* &quot;-&quot;_-;_-@_-"/>
    <numFmt numFmtId="178" formatCode="_-* #,##0_-;\-* #,##0_-;_-* &quot;-&quot;??_-;_-@_-"/>
    <numFmt numFmtId="179" formatCode="0_ "/>
    <numFmt numFmtId="180" formatCode="0.0_ "/>
    <numFmt numFmtId="181" formatCode="0.000_ "/>
    <numFmt numFmtId="182" formatCode="_-* #,##0.0000_-;\-* #,##0.0000_-;_-* &quot;-&quot;_-;_-@_-"/>
    <numFmt numFmtId="183" formatCode="0.0000_);[Red]\(0.0000\)"/>
    <numFmt numFmtId="184" formatCode="0.0000_ "/>
    <numFmt numFmtId="185" formatCode="0.00_ "/>
    <numFmt numFmtId="186" formatCode="_-* #,##0.0_-;\-* #,##0.0_-;_-* &quot;-&quot;??_-;_-@_-"/>
    <numFmt numFmtId="187" formatCode="0.000_);[Red]\(0.000\)"/>
    <numFmt numFmtId="188" formatCode="0.00%;\(0.00%\)"/>
    <numFmt numFmtId="189" formatCode="0_);[Red]\(0\)"/>
    <numFmt numFmtId="190" formatCode="#,##0_ "/>
    <numFmt numFmtId="191" formatCode="0.0_);[Red]\(0.0\)"/>
    <numFmt numFmtId="192" formatCode="#,##0.0_ "/>
  </numFmts>
  <fonts count="6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name val="바탕"/>
      <family val="1"/>
      <charset val="129"/>
    </font>
    <font>
      <sz val="10"/>
      <color rgb="FF00000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0" tint="-4.9989318521683403E-2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rgb="FFFF0000"/>
      <name val="맑은 고딕"/>
      <family val="3"/>
      <charset val="129"/>
    </font>
    <font>
      <sz val="11"/>
      <name val="돋움"/>
      <family val="3"/>
      <charset val="129"/>
    </font>
    <font>
      <b/>
      <sz val="9"/>
      <color rgb="FFFFFFFF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9"/>
      <color rgb="FFC6C3C6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0000FF"/>
      <name val="돋움"/>
      <family val="3"/>
      <charset val="129"/>
    </font>
    <font>
      <sz val="25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돋움"/>
      <family val="3"/>
      <charset val="129"/>
    </font>
    <font>
      <sz val="24"/>
      <color rgb="FF000000"/>
      <name val="HY헤드라인M"/>
      <family val="1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sz val="9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</fonts>
  <fills count="6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3659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C6C3C6"/>
      </right>
      <top style="thin">
        <color rgb="FFC6C3C6"/>
      </top>
      <bottom/>
      <diagonal/>
    </border>
    <border>
      <left style="thin">
        <color rgb="FFC6C3C6"/>
      </left>
      <right/>
      <top style="thin">
        <color rgb="FFC6C3C6"/>
      </top>
      <bottom/>
      <diagonal/>
    </border>
    <border>
      <left/>
      <right/>
      <top style="thin">
        <color rgb="FFC6C3C6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/>
      <bottom/>
      <diagonal/>
    </border>
    <border>
      <left style="thin">
        <color rgb="FFC6C3C6"/>
      </left>
      <right style="thin">
        <color rgb="FFC6C3C6"/>
      </right>
      <top/>
      <bottom/>
      <diagonal/>
    </border>
    <border>
      <left style="thin">
        <color rgb="FFC6C3C6"/>
      </left>
      <right/>
      <top/>
      <bottom style="thin">
        <color rgb="FFC6C3C6"/>
      </bottom>
      <diagonal/>
    </border>
    <border>
      <left style="thin">
        <color rgb="FFC6C3C6"/>
      </left>
      <right style="thin">
        <color rgb="FFC6C3C6"/>
      </right>
      <top/>
      <bottom style="thin">
        <color rgb="FFC6C3C6"/>
      </bottom>
      <diagonal/>
    </border>
    <border>
      <left style="thin">
        <color rgb="FFC6C3C6"/>
      </left>
      <right/>
      <top style="thin">
        <color rgb="FFC6C3C6"/>
      </top>
      <bottom style="thin">
        <color rgb="FFC6C3C6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rgb="FFC6C3C6"/>
      </top>
      <bottom style="thin">
        <color rgb="FFC6C3C6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C6C3C6"/>
      </right>
      <top style="thin">
        <color rgb="FFC6C3C6"/>
      </top>
      <bottom style="thin">
        <color rgb="FFC6C3C6"/>
      </bottom>
      <diagonal/>
    </border>
    <border>
      <left style="thin">
        <color rgb="FFC6C3C6"/>
      </left>
      <right style="thin">
        <color rgb="FFC6C3C6"/>
      </right>
      <top style="thin">
        <color rgb="FFC6C3C6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18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1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19" fillId="6" borderId="5" applyNumberForma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0" borderId="0"/>
    <xf numFmtId="0" fontId="21" fillId="0" borderId="0"/>
    <xf numFmtId="0" fontId="21" fillId="0" borderId="0"/>
    <xf numFmtId="0" fontId="28" fillId="0" borderId="0">
      <alignment vertical="center"/>
    </xf>
  </cellStyleXfs>
  <cellXfs count="56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3" fontId="31" fillId="0" borderId="44" xfId="0" applyNumberFormat="1" applyFont="1" applyBorder="1" applyAlignment="1">
      <alignment horizontal="right" vertical="center"/>
    </xf>
    <xf numFmtId="3" fontId="32" fillId="0" borderId="44" xfId="0" applyNumberFormat="1" applyFont="1" applyBorder="1" applyAlignment="1">
      <alignment horizontal="right" vertical="center"/>
    </xf>
    <xf numFmtId="3" fontId="32" fillId="0" borderId="45" xfId="0" applyNumberFormat="1" applyFont="1" applyBorder="1" applyAlignment="1">
      <alignment horizontal="right" vertical="center"/>
    </xf>
    <xf numFmtId="3" fontId="0" fillId="42" borderId="0" xfId="0" applyNumberFormat="1" applyFill="1">
      <alignment vertical="center"/>
    </xf>
    <xf numFmtId="3" fontId="0" fillId="44" borderId="0" xfId="0" applyNumberFormat="1" applyFill="1">
      <alignment vertical="center"/>
    </xf>
    <xf numFmtId="3" fontId="0" fillId="0" borderId="0" xfId="0" applyNumberFormat="1">
      <alignment vertical="center"/>
    </xf>
    <xf numFmtId="3" fontId="31" fillId="0" borderId="45" xfId="0" applyNumberFormat="1" applyFont="1" applyBorder="1" applyAlignment="1">
      <alignment horizontal="right" vertical="center"/>
    </xf>
    <xf numFmtId="188" fontId="31" fillId="0" borderId="45" xfId="0" applyNumberFormat="1" applyFont="1" applyBorder="1" applyAlignment="1">
      <alignment horizontal="right" vertical="center"/>
    </xf>
    <xf numFmtId="188" fontId="32" fillId="0" borderId="45" xfId="0" applyNumberFormat="1" applyFont="1" applyBorder="1" applyAlignment="1">
      <alignment horizontal="right" vertical="center"/>
    </xf>
    <xf numFmtId="41" fontId="0" fillId="0" borderId="0" xfId="1" applyFont="1" applyAlignment="1">
      <alignment horizontal="center" vertical="center"/>
    </xf>
    <xf numFmtId="190" fontId="0" fillId="0" borderId="0" xfId="0" applyNumberFormat="1">
      <alignment vertical="center"/>
    </xf>
    <xf numFmtId="0" fontId="0" fillId="37" borderId="0" xfId="0" applyFill="1">
      <alignment vertical="center"/>
    </xf>
    <xf numFmtId="0" fontId="25" fillId="47" borderId="36" xfId="0" applyFont="1" applyFill="1" applyBorder="1" applyAlignment="1">
      <alignment horizontal="center" vertical="center" wrapText="1"/>
    </xf>
    <xf numFmtId="41" fontId="0" fillId="0" borderId="36" xfId="1" applyFont="1" applyBorder="1" applyAlignment="1">
      <alignment horizontal="center" vertical="center"/>
    </xf>
    <xf numFmtId="180" fontId="0" fillId="0" borderId="36" xfId="0" applyNumberFormat="1" applyBorder="1">
      <alignment vertical="center"/>
    </xf>
    <xf numFmtId="41" fontId="0" fillId="0" borderId="36" xfId="1" applyFont="1" applyBorder="1">
      <alignment vertical="center"/>
    </xf>
    <xf numFmtId="190" fontId="0" fillId="0" borderId="36" xfId="0" applyNumberFormat="1" applyBorder="1">
      <alignment vertical="center"/>
    </xf>
    <xf numFmtId="190" fontId="0" fillId="0" borderId="40" xfId="0" applyNumberFormat="1" applyBorder="1">
      <alignment vertical="center"/>
    </xf>
    <xf numFmtId="0" fontId="22" fillId="34" borderId="36" xfId="0" applyFont="1" applyFill="1" applyBorder="1" applyAlignment="1">
      <alignment horizontal="center" vertical="center"/>
    </xf>
    <xf numFmtId="41" fontId="22" fillId="34" borderId="36" xfId="1" applyFont="1" applyFill="1" applyBorder="1" applyAlignment="1">
      <alignment horizontal="center" vertical="center" wrapText="1"/>
    </xf>
    <xf numFmtId="41" fontId="36" fillId="0" borderId="36" xfId="1" applyFont="1" applyBorder="1" applyAlignment="1">
      <alignment horizontal="center" vertical="center"/>
    </xf>
    <xf numFmtId="0" fontId="22" fillId="36" borderId="53" xfId="0" applyFont="1" applyFill="1" applyBorder="1">
      <alignment vertical="center"/>
    </xf>
    <xf numFmtId="0" fontId="37" fillId="37" borderId="17" xfId="0" applyFont="1" applyFill="1" applyBorder="1" applyAlignment="1">
      <alignment horizontal="center" vertical="center"/>
    </xf>
    <xf numFmtId="0" fontId="0" fillId="37" borderId="0" xfId="0" applyFill="1" applyAlignment="1">
      <alignment horizontal="center" vertical="center"/>
    </xf>
    <xf numFmtId="179" fontId="0" fillId="37" borderId="0" xfId="0" applyNumberFormat="1" applyFill="1">
      <alignment vertical="center"/>
    </xf>
    <xf numFmtId="0" fontId="22" fillId="36" borderId="18" xfId="2" applyFont="1" applyFill="1" applyBorder="1" applyAlignment="1">
      <alignment horizontal="center" vertical="center"/>
    </xf>
    <xf numFmtId="0" fontId="25" fillId="48" borderId="36" xfId="0" applyFont="1" applyFill="1" applyBorder="1" applyAlignment="1">
      <alignment horizontal="center" vertical="center" wrapText="1"/>
    </xf>
    <xf numFmtId="0" fontId="25" fillId="35" borderId="36" xfId="0" applyFont="1" applyFill="1" applyBorder="1" applyAlignment="1">
      <alignment horizontal="center" vertical="center"/>
    </xf>
    <xf numFmtId="41" fontId="0" fillId="37" borderId="0" xfId="1" applyFont="1" applyFill="1" applyAlignment="1">
      <alignment horizontal="center" vertical="center"/>
    </xf>
    <xf numFmtId="41" fontId="22" fillId="36" borderId="48" xfId="1" applyFont="1" applyFill="1" applyBorder="1" applyAlignment="1">
      <alignment horizontal="center" vertical="center"/>
    </xf>
    <xf numFmtId="0" fontId="24" fillId="37" borderId="0" xfId="0" applyFont="1" applyFill="1" applyAlignment="1">
      <alignment horizontal="center" vertical="center"/>
    </xf>
    <xf numFmtId="41" fontId="24" fillId="37" borderId="0" xfId="1" applyFont="1" applyFill="1" applyAlignment="1">
      <alignment horizontal="center" vertical="center"/>
    </xf>
    <xf numFmtId="43" fontId="24" fillId="37" borderId="0" xfId="0" applyNumberFormat="1" applyFont="1" applyFill="1" applyAlignment="1">
      <alignment horizontal="center" vertical="center"/>
    </xf>
    <xf numFmtId="41" fontId="0" fillId="37" borderId="0" xfId="0" applyNumberFormat="1" applyFill="1" applyAlignment="1">
      <alignment horizontal="center" vertical="center"/>
    </xf>
    <xf numFmtId="0" fontId="4" fillId="37" borderId="0" xfId="0" applyFont="1" applyFill="1" applyAlignment="1">
      <alignment horizontal="right" vertical="center"/>
    </xf>
    <xf numFmtId="0" fontId="25" fillId="33" borderId="36" xfId="0" applyFont="1" applyFill="1" applyBorder="1" applyAlignment="1">
      <alignment horizontal="center" vertical="center"/>
    </xf>
    <xf numFmtId="0" fontId="25" fillId="48" borderId="36" xfId="0" applyFont="1" applyFill="1" applyBorder="1" applyAlignment="1">
      <alignment horizontal="center" vertical="center"/>
    </xf>
    <xf numFmtId="0" fontId="25" fillId="46" borderId="36" xfId="0" applyFont="1" applyFill="1" applyBorder="1" applyAlignment="1">
      <alignment horizontal="center" vertical="center"/>
    </xf>
    <xf numFmtId="0" fontId="38" fillId="37" borderId="73" xfId="0" applyFont="1" applyFill="1" applyBorder="1" applyAlignment="1">
      <alignment horizontal="center" vertical="center"/>
    </xf>
    <xf numFmtId="0" fontId="25" fillId="39" borderId="36" xfId="0" applyFont="1" applyFill="1" applyBorder="1" applyAlignment="1">
      <alignment horizontal="center" vertical="center" wrapText="1"/>
    </xf>
    <xf numFmtId="0" fontId="0" fillId="0" borderId="0" xfId="0" applyNumberFormat="1">
      <alignment vertical="center"/>
    </xf>
    <xf numFmtId="14" fontId="41" fillId="0" borderId="0" xfId="0" applyNumberFormat="1" applyFont="1">
      <alignment vertical="center"/>
    </xf>
    <xf numFmtId="0" fontId="0" fillId="38" borderId="19" xfId="0" applyNumberFormat="1" applyFill="1" applyBorder="1">
      <alignment vertical="center"/>
    </xf>
    <xf numFmtId="0" fontId="0" fillId="38" borderId="25" xfId="0" applyNumberFormat="1" applyFill="1" applyBorder="1">
      <alignment vertical="center"/>
    </xf>
    <xf numFmtId="41" fontId="43" fillId="38" borderId="25" xfId="1" applyNumberFormat="1" applyFont="1" applyFill="1" applyBorder="1" applyAlignment="1">
      <alignment horizontal="center" vertical="center"/>
    </xf>
    <xf numFmtId="41" fontId="43" fillId="38" borderId="25" xfId="1" applyNumberFormat="1" applyFont="1" applyFill="1" applyBorder="1" applyAlignment="1">
      <alignment horizontal="center" vertical="center" wrapText="1"/>
    </xf>
    <xf numFmtId="41" fontId="43" fillId="38" borderId="27" xfId="1" applyNumberFormat="1" applyFont="1" applyFill="1" applyBorder="1" applyAlignment="1">
      <alignment horizontal="center" vertical="center" wrapText="1"/>
    </xf>
    <xf numFmtId="41" fontId="43" fillId="39" borderId="25" xfId="1" applyNumberFormat="1" applyFont="1" applyFill="1" applyBorder="1" applyAlignment="1">
      <alignment horizontal="center" vertical="center"/>
    </xf>
    <xf numFmtId="41" fontId="27" fillId="39" borderId="25" xfId="1" applyNumberFormat="1" applyFont="1" applyFill="1" applyBorder="1" applyAlignment="1">
      <alignment horizontal="center" vertical="center"/>
    </xf>
    <xf numFmtId="41" fontId="43" fillId="39" borderId="25" xfId="1" applyNumberFormat="1" applyFont="1" applyFill="1" applyBorder="1" applyAlignment="1">
      <alignment horizontal="center" vertical="center" wrapText="1"/>
    </xf>
    <xf numFmtId="41" fontId="43" fillId="39" borderId="28" xfId="1" applyNumberFormat="1" applyFont="1" applyFill="1" applyBorder="1" applyAlignment="1">
      <alignment horizontal="center" vertical="center" wrapText="1"/>
    </xf>
    <xf numFmtId="0" fontId="0" fillId="40" borderId="19" xfId="0" applyNumberFormat="1" applyFill="1" applyBorder="1">
      <alignment vertical="center"/>
    </xf>
    <xf numFmtId="0" fontId="44" fillId="40" borderId="20" xfId="3186" applyNumberFormat="1" applyFont="1" applyFill="1" applyBorder="1" applyAlignment="1">
      <alignment horizontal="center" vertical="center"/>
    </xf>
    <xf numFmtId="41" fontId="45" fillId="0" borderId="29" xfId="1" applyNumberFormat="1" applyFont="1" applyBorder="1" applyAlignment="1">
      <alignment horizontal="center" vertical="center"/>
    </xf>
    <xf numFmtId="41" fontId="45" fillId="0" borderId="29" xfId="1" applyNumberFormat="1" applyFont="1" applyBorder="1">
      <alignment vertical="center"/>
    </xf>
    <xf numFmtId="180" fontId="45" fillId="0" borderId="19" xfId="0" applyNumberFormat="1" applyFont="1" applyBorder="1">
      <alignment vertical="center"/>
    </xf>
    <xf numFmtId="0" fontId="45" fillId="0" borderId="19" xfId="0" applyNumberFormat="1" applyFont="1" applyBorder="1">
      <alignment vertical="center"/>
    </xf>
    <xf numFmtId="180" fontId="46" fillId="0" borderId="19" xfId="0" applyNumberFormat="1" applyFont="1" applyFill="1" applyBorder="1">
      <alignment vertical="center"/>
    </xf>
    <xf numFmtId="181" fontId="45" fillId="0" borderId="19" xfId="0" applyNumberFormat="1" applyFont="1" applyBorder="1">
      <alignment vertical="center"/>
    </xf>
    <xf numFmtId="181" fontId="45" fillId="0" borderId="21" xfId="0" applyNumberFormat="1" applyFont="1" applyBorder="1">
      <alignment vertical="center"/>
    </xf>
    <xf numFmtId="179" fontId="45" fillId="0" borderId="30" xfId="0" applyNumberFormat="1" applyFont="1" applyBorder="1">
      <alignment vertical="center"/>
    </xf>
    <xf numFmtId="0" fontId="44" fillId="40" borderId="15" xfId="3186" applyNumberFormat="1" applyFont="1" applyFill="1" applyBorder="1" applyAlignment="1">
      <alignment horizontal="center" vertical="center"/>
    </xf>
    <xf numFmtId="41" fontId="45" fillId="51" borderId="29" xfId="1" applyNumberFormat="1" applyFont="1" applyFill="1" applyBorder="1" applyAlignment="1">
      <alignment horizontal="center" vertical="center"/>
    </xf>
    <xf numFmtId="41" fontId="45" fillId="51" borderId="29" xfId="1" applyNumberFormat="1" applyFont="1" applyFill="1" applyBorder="1">
      <alignment vertical="center"/>
    </xf>
    <xf numFmtId="180" fontId="46" fillId="51" borderId="19" xfId="0" applyNumberFormat="1" applyFont="1" applyFill="1" applyBorder="1">
      <alignment vertical="center"/>
    </xf>
    <xf numFmtId="182" fontId="45" fillId="0" borderId="29" xfId="0" applyNumberFormat="1" applyFont="1" applyBorder="1">
      <alignment vertical="center"/>
    </xf>
    <xf numFmtId="0" fontId="45" fillId="0" borderId="29" xfId="0" applyNumberFormat="1" applyFont="1" applyBorder="1">
      <alignment vertical="center"/>
    </xf>
    <xf numFmtId="183" fontId="45" fillId="51" borderId="29" xfId="0" applyNumberFormat="1" applyFont="1" applyFill="1" applyBorder="1">
      <alignment vertical="center"/>
    </xf>
    <xf numFmtId="184" fontId="45" fillId="51" borderId="31" xfId="0" applyNumberFormat="1" applyFont="1" applyFill="1" applyBorder="1">
      <alignment vertical="center"/>
    </xf>
    <xf numFmtId="0" fontId="0" fillId="40" borderId="36" xfId="0" applyNumberFormat="1" applyFill="1" applyBorder="1">
      <alignment vertical="center"/>
    </xf>
    <xf numFmtId="0" fontId="44" fillId="40" borderId="37" xfId="3186" applyNumberFormat="1" applyFont="1" applyFill="1" applyBorder="1" applyAlignment="1">
      <alignment horizontal="center" vertical="center"/>
    </xf>
    <xf numFmtId="41" fontId="45" fillId="0" borderId="36" xfId="1" applyNumberFormat="1" applyFont="1" applyBorder="1" applyAlignment="1">
      <alignment horizontal="center" vertical="center"/>
    </xf>
    <xf numFmtId="41" fontId="45" fillId="0" borderId="36" xfId="1" applyNumberFormat="1" applyFont="1" applyBorder="1">
      <alignment vertical="center"/>
    </xf>
    <xf numFmtId="180" fontId="45" fillId="0" borderId="38" xfId="0" applyNumberFormat="1" applyFont="1" applyBorder="1">
      <alignment vertical="center"/>
    </xf>
    <xf numFmtId="0" fontId="45" fillId="0" borderId="36" xfId="0" applyNumberFormat="1" applyFont="1" applyBorder="1">
      <alignment vertical="center"/>
    </xf>
    <xf numFmtId="180" fontId="46" fillId="0" borderId="38" xfId="0" applyNumberFormat="1" applyFont="1" applyFill="1" applyBorder="1">
      <alignment vertical="center"/>
    </xf>
    <xf numFmtId="181" fontId="45" fillId="0" borderId="38" xfId="0" applyNumberFormat="1" applyFont="1" applyBorder="1">
      <alignment vertical="center"/>
    </xf>
    <xf numFmtId="181" fontId="45" fillId="0" borderId="39" xfId="0" applyNumberFormat="1" applyFont="1" applyBorder="1">
      <alignment vertical="center"/>
    </xf>
    <xf numFmtId="0" fontId="44" fillId="40" borderId="17" xfId="3186" applyNumberFormat="1" applyFont="1" applyFill="1" applyBorder="1" applyAlignment="1">
      <alignment horizontal="center" vertical="center"/>
    </xf>
    <xf numFmtId="41" fontId="45" fillId="51" borderId="36" xfId="1" applyNumberFormat="1" applyFont="1" applyFill="1" applyBorder="1" applyAlignment="1">
      <alignment horizontal="center" vertical="center"/>
    </xf>
    <xf numFmtId="41" fontId="45" fillId="51" borderId="36" xfId="1" applyNumberFormat="1" applyFont="1" applyFill="1" applyBorder="1">
      <alignment vertical="center"/>
    </xf>
    <xf numFmtId="180" fontId="46" fillId="51" borderId="38" xfId="0" applyNumberFormat="1" applyFont="1" applyFill="1" applyBorder="1">
      <alignment vertical="center"/>
    </xf>
    <xf numFmtId="182" fontId="45" fillId="0" borderId="36" xfId="0" applyNumberFormat="1" applyFont="1" applyBorder="1">
      <alignment vertical="center"/>
    </xf>
    <xf numFmtId="183" fontId="45" fillId="51" borderId="36" xfId="0" applyNumberFormat="1" applyFont="1" applyFill="1" applyBorder="1">
      <alignment vertical="center"/>
    </xf>
    <xf numFmtId="184" fontId="45" fillId="51" borderId="40" xfId="0" applyNumberFormat="1" applyFont="1" applyFill="1" applyBorder="1">
      <alignment vertical="center"/>
    </xf>
    <xf numFmtId="0" fontId="29" fillId="41" borderId="42" xfId="0" applyNumberFormat="1" applyFont="1" applyFill="1" applyBorder="1" applyAlignment="1">
      <alignment horizontal="center" wrapText="1"/>
    </xf>
    <xf numFmtId="0" fontId="29" fillId="41" borderId="42" xfId="0" applyNumberFormat="1" applyFont="1" applyFill="1" applyBorder="1" applyAlignment="1">
      <alignment horizontal="center"/>
    </xf>
    <xf numFmtId="0" fontId="29" fillId="41" borderId="43" xfId="0" applyNumberFormat="1" applyFont="1" applyFill="1" applyBorder="1" applyAlignment="1">
      <alignment horizontal="center"/>
    </xf>
    <xf numFmtId="0" fontId="30" fillId="0" borderId="44" xfId="0" applyNumberFormat="1" applyFont="1" applyBorder="1" applyAlignment="1">
      <alignment horizontal="left" vertical="center" wrapText="1"/>
    </xf>
    <xf numFmtId="0" fontId="30" fillId="0" borderId="46" xfId="0" applyNumberFormat="1" applyFont="1" applyBorder="1" applyAlignment="1">
      <alignment horizontal="left" vertical="center" wrapText="1"/>
    </xf>
    <xf numFmtId="0" fontId="0" fillId="40" borderId="48" xfId="0" applyNumberFormat="1" applyFill="1" applyBorder="1">
      <alignment vertical="center"/>
    </xf>
    <xf numFmtId="0" fontId="44" fillId="40" borderId="49" xfId="3186" applyNumberFormat="1" applyFont="1" applyFill="1" applyBorder="1" applyAlignment="1">
      <alignment horizontal="center" vertical="center"/>
    </xf>
    <xf numFmtId="41" fontId="45" fillId="0" borderId="38" xfId="1" applyNumberFormat="1" applyFont="1" applyBorder="1" applyAlignment="1">
      <alignment horizontal="center" vertical="center"/>
    </xf>
    <xf numFmtId="41" fontId="45" fillId="0" borderId="38" xfId="1" applyNumberFormat="1" applyFont="1" applyBorder="1">
      <alignment vertical="center"/>
    </xf>
    <xf numFmtId="180" fontId="45" fillId="0" borderId="50" xfId="0" applyNumberFormat="1" applyFont="1" applyBorder="1">
      <alignment vertical="center"/>
    </xf>
    <xf numFmtId="0" fontId="45" fillId="0" borderId="48" xfId="0" applyNumberFormat="1" applyFont="1" applyBorder="1">
      <alignment vertical="center"/>
    </xf>
    <xf numFmtId="180" fontId="46" fillId="0" borderId="50" xfId="0" applyNumberFormat="1" applyFont="1" applyFill="1" applyBorder="1">
      <alignment vertical="center"/>
    </xf>
    <xf numFmtId="181" fontId="45" fillId="0" borderId="50" xfId="0" applyNumberFormat="1" applyFont="1" applyBorder="1">
      <alignment vertical="center"/>
    </xf>
    <xf numFmtId="181" fontId="45" fillId="0" borderId="51" xfId="0" applyNumberFormat="1" applyFont="1" applyBorder="1">
      <alignment vertical="center"/>
    </xf>
    <xf numFmtId="0" fontId="44" fillId="40" borderId="18" xfId="3186" applyNumberFormat="1" applyFont="1" applyFill="1" applyBorder="1" applyAlignment="1">
      <alignment horizontal="center" vertical="center"/>
    </xf>
    <xf numFmtId="41" fontId="45" fillId="51" borderId="50" xfId="1" applyNumberFormat="1" applyFont="1" applyFill="1" applyBorder="1" applyAlignment="1">
      <alignment horizontal="center" vertical="center"/>
    </xf>
    <xf numFmtId="41" fontId="45" fillId="0" borderId="50" xfId="1" applyNumberFormat="1" applyFont="1" applyBorder="1" applyAlignment="1">
      <alignment horizontal="center" vertical="center"/>
    </xf>
    <xf numFmtId="41" fontId="45" fillId="51" borderId="38" xfId="1" applyNumberFormat="1" applyFont="1" applyFill="1" applyBorder="1">
      <alignment vertical="center"/>
    </xf>
    <xf numFmtId="41" fontId="45" fillId="51" borderId="48" xfId="1" applyNumberFormat="1" applyFont="1" applyFill="1" applyBorder="1">
      <alignment vertical="center"/>
    </xf>
    <xf numFmtId="180" fontId="46" fillId="51" borderId="50" xfId="0" applyNumberFormat="1" applyFont="1" applyFill="1" applyBorder="1">
      <alignment vertical="center"/>
    </xf>
    <xf numFmtId="182" fontId="45" fillId="0" borderId="48" xfId="0" applyNumberFormat="1" applyFont="1" applyBorder="1">
      <alignment vertical="center"/>
    </xf>
    <xf numFmtId="183" fontId="45" fillId="51" borderId="52" xfId="0" applyNumberFormat="1" applyFont="1" applyFill="1" applyBorder="1">
      <alignment vertical="center"/>
    </xf>
    <xf numFmtId="184" fontId="45" fillId="51" borderId="53" xfId="0" applyNumberFormat="1" applyFont="1" applyFill="1" applyBorder="1">
      <alignment vertical="center"/>
    </xf>
    <xf numFmtId="0" fontId="0" fillId="52" borderId="19" xfId="0" applyNumberFormat="1" applyFill="1" applyBorder="1">
      <alignment vertical="center"/>
    </xf>
    <xf numFmtId="0" fontId="44" fillId="52" borderId="20" xfId="3186" applyNumberFormat="1" applyFont="1" applyFill="1" applyBorder="1" applyAlignment="1">
      <alignment horizontal="center" vertical="center"/>
    </xf>
    <xf numFmtId="0" fontId="44" fillId="52" borderId="15" xfId="3186" applyNumberFormat="1" applyFont="1" applyFill="1" applyBorder="1" applyAlignment="1">
      <alignment horizontal="center" vertical="center"/>
    </xf>
    <xf numFmtId="41" fontId="45" fillId="51" borderId="19" xfId="1" applyNumberFormat="1" applyFont="1" applyFill="1" applyBorder="1">
      <alignment vertical="center"/>
    </xf>
    <xf numFmtId="182" fontId="45" fillId="0" borderId="19" xfId="0" applyNumberFormat="1" applyFont="1" applyBorder="1">
      <alignment vertical="center"/>
    </xf>
    <xf numFmtId="184" fontId="45" fillId="51" borderId="54" xfId="0" applyNumberFormat="1" applyFont="1" applyFill="1" applyBorder="1">
      <alignment vertical="center"/>
    </xf>
    <xf numFmtId="0" fontId="0" fillId="52" borderId="36" xfId="0" applyNumberFormat="1" applyFill="1" applyBorder="1">
      <alignment vertical="center"/>
    </xf>
    <xf numFmtId="0" fontId="44" fillId="52" borderId="37" xfId="3186" applyNumberFormat="1" applyFont="1" applyFill="1" applyBorder="1" applyAlignment="1">
      <alignment horizontal="center" vertical="center"/>
    </xf>
    <xf numFmtId="0" fontId="44" fillId="52" borderId="17" xfId="3186" applyNumberFormat="1" applyFont="1" applyFill="1" applyBorder="1" applyAlignment="1">
      <alignment horizontal="center" vertical="center"/>
    </xf>
    <xf numFmtId="0" fontId="0" fillId="52" borderId="48" xfId="0" applyNumberFormat="1" applyFill="1" applyBorder="1">
      <alignment vertical="center"/>
    </xf>
    <xf numFmtId="0" fontId="44" fillId="52" borderId="49" xfId="3186" applyNumberFormat="1" applyFont="1" applyFill="1" applyBorder="1" applyAlignment="1">
      <alignment horizontal="center" vertical="center"/>
    </xf>
    <xf numFmtId="0" fontId="44" fillId="52" borderId="18" xfId="3186" applyNumberFormat="1" applyFont="1" applyFill="1" applyBorder="1" applyAlignment="1">
      <alignment horizontal="center" vertical="center"/>
    </xf>
    <xf numFmtId="0" fontId="0" fillId="43" borderId="19" xfId="0" applyNumberFormat="1" applyFill="1" applyBorder="1">
      <alignment vertical="center"/>
    </xf>
    <xf numFmtId="0" fontId="44" fillId="43" borderId="20" xfId="3186" applyNumberFormat="1" applyFont="1" applyFill="1" applyBorder="1" applyAlignment="1">
      <alignment horizontal="center" vertical="center"/>
    </xf>
    <xf numFmtId="0" fontId="44" fillId="43" borderId="15" xfId="3186" applyNumberFormat="1" applyFont="1" applyFill="1" applyBorder="1" applyAlignment="1">
      <alignment horizontal="center" vertical="center"/>
    </xf>
    <xf numFmtId="0" fontId="0" fillId="43" borderId="36" xfId="0" applyNumberFormat="1" applyFill="1" applyBorder="1">
      <alignment vertical="center"/>
    </xf>
    <xf numFmtId="0" fontId="44" fillId="43" borderId="37" xfId="3186" applyNumberFormat="1" applyFont="1" applyFill="1" applyBorder="1" applyAlignment="1">
      <alignment horizontal="center" vertical="center"/>
    </xf>
    <xf numFmtId="0" fontId="44" fillId="43" borderId="17" xfId="3186" applyNumberFormat="1" applyFont="1" applyFill="1" applyBorder="1" applyAlignment="1">
      <alignment horizontal="center" vertical="center"/>
    </xf>
    <xf numFmtId="0" fontId="0" fillId="43" borderId="48" xfId="0" applyNumberFormat="1" applyFill="1" applyBorder="1">
      <alignment vertical="center"/>
    </xf>
    <xf numFmtId="0" fontId="44" fillId="43" borderId="49" xfId="3186" applyNumberFormat="1" applyFont="1" applyFill="1" applyBorder="1" applyAlignment="1">
      <alignment horizontal="center" vertical="center"/>
    </xf>
    <xf numFmtId="0" fontId="44" fillId="43" borderId="18" xfId="3186" applyNumberFormat="1" applyFont="1" applyFill="1" applyBorder="1" applyAlignment="1">
      <alignment horizontal="center" vertical="center"/>
    </xf>
    <xf numFmtId="41" fontId="45" fillId="51" borderId="50" xfId="1" applyNumberFormat="1" applyFont="1" applyFill="1" applyBorder="1">
      <alignment vertical="center"/>
    </xf>
    <xf numFmtId="0" fontId="30" fillId="44" borderId="46" xfId="0" applyNumberFormat="1" applyFont="1" applyFill="1" applyBorder="1" applyAlignment="1">
      <alignment horizontal="left" vertical="center" wrapText="1"/>
    </xf>
    <xf numFmtId="0" fontId="0" fillId="53" borderId="19" xfId="0" applyNumberFormat="1" applyFill="1" applyBorder="1">
      <alignment vertical="center"/>
    </xf>
    <xf numFmtId="0" fontId="44" fillId="53" borderId="19" xfId="3186" applyNumberFormat="1" applyFont="1" applyFill="1" applyBorder="1" applyAlignment="1">
      <alignment horizontal="center" vertical="center"/>
    </xf>
    <xf numFmtId="0" fontId="44" fillId="53" borderId="15" xfId="3186" applyNumberFormat="1" applyFont="1" applyFill="1" applyBorder="1" applyAlignment="1">
      <alignment horizontal="center" vertical="center"/>
    </xf>
    <xf numFmtId="41" fontId="0" fillId="0" borderId="0" xfId="1" applyNumberFormat="1" applyFont="1">
      <alignment vertical="center"/>
    </xf>
    <xf numFmtId="0" fontId="0" fillId="53" borderId="36" xfId="0" applyNumberFormat="1" applyFill="1" applyBorder="1">
      <alignment vertical="center"/>
    </xf>
    <xf numFmtId="0" fontId="44" fillId="53" borderId="36" xfId="3186" applyNumberFormat="1" applyFont="1" applyFill="1" applyBorder="1" applyAlignment="1">
      <alignment horizontal="center" vertical="center"/>
    </xf>
    <xf numFmtId="180" fontId="45" fillId="0" borderId="36" xfId="0" applyNumberFormat="1" applyFont="1" applyBorder="1">
      <alignment vertical="center"/>
    </xf>
    <xf numFmtId="180" fontId="46" fillId="0" borderId="36" xfId="0" applyNumberFormat="1" applyFont="1" applyFill="1" applyBorder="1">
      <alignment vertical="center"/>
    </xf>
    <xf numFmtId="181" fontId="45" fillId="0" borderId="36" xfId="0" applyNumberFormat="1" applyFont="1" applyBorder="1">
      <alignment vertical="center"/>
    </xf>
    <xf numFmtId="181" fontId="45" fillId="0" borderId="55" xfId="0" applyNumberFormat="1" applyFont="1" applyBorder="1">
      <alignment vertical="center"/>
    </xf>
    <xf numFmtId="0" fontId="44" fillId="53" borderId="17" xfId="3186" applyNumberFormat="1" applyFont="1" applyFill="1" applyBorder="1" applyAlignment="1">
      <alignment horizontal="center" vertical="center"/>
    </xf>
    <xf numFmtId="0" fontId="0" fillId="53" borderId="48" xfId="0" applyNumberFormat="1" applyFill="1" applyBorder="1">
      <alignment vertical="center"/>
    </xf>
    <xf numFmtId="0" fontId="44" fillId="53" borderId="48" xfId="3186" applyNumberFormat="1" applyFont="1" applyFill="1" applyBorder="1" applyAlignment="1">
      <alignment horizontal="center" vertical="center"/>
    </xf>
    <xf numFmtId="180" fontId="45" fillId="0" borderId="48" xfId="0" applyNumberFormat="1" applyFont="1" applyBorder="1">
      <alignment vertical="center"/>
    </xf>
    <xf numFmtId="180" fontId="46" fillId="0" borderId="48" xfId="0" applyNumberFormat="1" applyFont="1" applyFill="1" applyBorder="1">
      <alignment vertical="center"/>
    </xf>
    <xf numFmtId="181" fontId="45" fillId="0" borderId="48" xfId="0" applyNumberFormat="1" applyFont="1" applyBorder="1">
      <alignment vertical="center"/>
    </xf>
    <xf numFmtId="181" fontId="45" fillId="0" borderId="56" xfId="0" applyNumberFormat="1" applyFont="1" applyBorder="1">
      <alignment vertical="center"/>
    </xf>
    <xf numFmtId="0" fontId="44" fillId="53" borderId="18" xfId="3186" applyNumberFormat="1" applyFont="1" applyFill="1" applyBorder="1" applyAlignment="1">
      <alignment horizontal="center" vertical="center"/>
    </xf>
    <xf numFmtId="0" fontId="0" fillId="45" borderId="19" xfId="0" applyNumberFormat="1" applyFill="1" applyBorder="1">
      <alignment vertical="center"/>
    </xf>
    <xf numFmtId="0" fontId="44" fillId="45" borderId="19" xfId="3186" applyNumberFormat="1" applyFont="1" applyFill="1" applyBorder="1" applyAlignment="1">
      <alignment horizontal="center" vertical="center"/>
    </xf>
    <xf numFmtId="179" fontId="45" fillId="0" borderId="17" xfId="0" applyNumberFormat="1" applyFont="1" applyBorder="1">
      <alignment vertical="center"/>
    </xf>
    <xf numFmtId="0" fontId="44" fillId="45" borderId="57" xfId="3186" applyNumberFormat="1" applyFont="1" applyFill="1" applyBorder="1" applyAlignment="1">
      <alignment horizontal="center" vertical="center"/>
    </xf>
    <xf numFmtId="41" fontId="45" fillId="51" borderId="52" xfId="1" applyNumberFormat="1" applyFont="1" applyFill="1" applyBorder="1" applyAlignment="1">
      <alignment horizontal="center" vertical="center"/>
    </xf>
    <xf numFmtId="41" fontId="45" fillId="0" borderId="52" xfId="1" applyNumberFormat="1" applyFont="1" applyBorder="1" applyAlignment="1">
      <alignment horizontal="center" vertical="center"/>
    </xf>
    <xf numFmtId="0" fontId="45" fillId="0" borderId="38" xfId="0" applyNumberFormat="1" applyFont="1" applyBorder="1">
      <alignment vertical="center"/>
    </xf>
    <xf numFmtId="182" fontId="45" fillId="0" borderId="38" xfId="0" applyNumberFormat="1" applyFont="1" applyBorder="1">
      <alignment vertical="center"/>
    </xf>
    <xf numFmtId="184" fontId="45" fillId="51" borderId="58" xfId="0" applyNumberFormat="1" applyFont="1" applyFill="1" applyBorder="1">
      <alignment vertical="center"/>
    </xf>
    <xf numFmtId="0" fontId="0" fillId="45" borderId="38" xfId="0" applyNumberFormat="1" applyFill="1" applyBorder="1">
      <alignment vertical="center"/>
    </xf>
    <xf numFmtId="0" fontId="0" fillId="45" borderId="36" xfId="0" applyNumberFormat="1" applyFill="1" applyBorder="1">
      <alignment vertical="center"/>
    </xf>
    <xf numFmtId="0" fontId="44" fillId="45" borderId="37" xfId="3186" applyNumberFormat="1" applyFont="1" applyFill="1" applyBorder="1" applyAlignment="1">
      <alignment horizontal="center" vertical="center"/>
    </xf>
    <xf numFmtId="0" fontId="0" fillId="45" borderId="52" xfId="0" applyNumberFormat="1" applyFill="1" applyBorder="1">
      <alignment vertical="center"/>
    </xf>
    <xf numFmtId="0" fontId="44" fillId="45" borderId="26" xfId="3186" applyNumberFormat="1" applyFont="1" applyFill="1" applyBorder="1" applyAlignment="1">
      <alignment horizontal="center" vertical="center"/>
    </xf>
    <xf numFmtId="41" fontId="45" fillId="0" borderId="52" xfId="1" applyNumberFormat="1" applyFont="1" applyBorder="1">
      <alignment vertical="center"/>
    </xf>
    <xf numFmtId="180" fontId="45" fillId="0" borderId="52" xfId="0" applyNumberFormat="1" applyFont="1" applyBorder="1">
      <alignment vertical="center"/>
    </xf>
    <xf numFmtId="0" fontId="45" fillId="0" borderId="25" xfId="0" applyNumberFormat="1" applyFont="1" applyBorder="1">
      <alignment vertical="center"/>
    </xf>
    <xf numFmtId="180" fontId="46" fillId="0" borderId="52" xfId="0" applyNumberFormat="1" applyFont="1" applyFill="1" applyBorder="1">
      <alignment vertical="center"/>
    </xf>
    <xf numFmtId="181" fontId="45" fillId="0" borderId="52" xfId="0" applyNumberFormat="1" applyFont="1" applyBorder="1">
      <alignment vertical="center"/>
    </xf>
    <xf numFmtId="181" fontId="45" fillId="0" borderId="59" xfId="0" applyNumberFormat="1" applyFont="1" applyBorder="1">
      <alignment vertical="center"/>
    </xf>
    <xf numFmtId="41" fontId="45" fillId="51" borderId="52" xfId="1" applyNumberFormat="1" applyFont="1" applyFill="1" applyBorder="1">
      <alignment vertical="center"/>
    </xf>
    <xf numFmtId="180" fontId="46" fillId="51" borderId="52" xfId="0" applyNumberFormat="1" applyFont="1" applyFill="1" applyBorder="1">
      <alignment vertical="center"/>
    </xf>
    <xf numFmtId="182" fontId="45" fillId="0" borderId="52" xfId="0" applyNumberFormat="1" applyFont="1" applyBorder="1">
      <alignment vertical="center"/>
    </xf>
    <xf numFmtId="0" fontId="45" fillId="0" borderId="52" xfId="0" applyNumberFormat="1" applyFont="1" applyBorder="1">
      <alignment vertical="center"/>
    </xf>
    <xf numFmtId="184" fontId="45" fillId="51" borderId="60" xfId="0" applyNumberFormat="1" applyFont="1" applyFill="1" applyBorder="1">
      <alignment vertical="center"/>
    </xf>
    <xf numFmtId="0" fontId="0" fillId="38" borderId="13" xfId="0" applyNumberFormat="1" applyFill="1" applyBorder="1">
      <alignment vertical="center"/>
    </xf>
    <xf numFmtId="0" fontId="0" fillId="38" borderId="61" xfId="0" applyNumberFormat="1" applyFill="1" applyBorder="1">
      <alignment vertical="center"/>
    </xf>
    <xf numFmtId="0" fontId="44" fillId="38" borderId="62" xfId="3186" applyNumberFormat="1" applyFont="1" applyFill="1" applyBorder="1" applyAlignment="1">
      <alignment horizontal="center" vertical="center"/>
    </xf>
    <xf numFmtId="41" fontId="47" fillId="38" borderId="61" xfId="0" applyNumberFormat="1" applyFont="1" applyFill="1" applyBorder="1">
      <alignment vertical="center"/>
    </xf>
    <xf numFmtId="180" fontId="47" fillId="38" borderId="61" xfId="0" applyNumberFormat="1" applyFont="1" applyFill="1" applyBorder="1">
      <alignment vertical="center"/>
    </xf>
    <xf numFmtId="0" fontId="47" fillId="38" borderId="61" xfId="0" applyNumberFormat="1" applyFont="1" applyFill="1" applyBorder="1">
      <alignment vertical="center"/>
    </xf>
    <xf numFmtId="0" fontId="45" fillId="38" borderId="61" xfId="0" applyNumberFormat="1" applyFont="1" applyFill="1" applyBorder="1">
      <alignment vertical="center"/>
    </xf>
    <xf numFmtId="0" fontId="45" fillId="38" borderId="63" xfId="0" applyNumberFormat="1" applyFont="1" applyFill="1" applyBorder="1">
      <alignment vertical="center"/>
    </xf>
    <xf numFmtId="0" fontId="45" fillId="38" borderId="64" xfId="0" applyNumberFormat="1" applyFont="1" applyFill="1" applyBorder="1">
      <alignment vertical="center"/>
    </xf>
    <xf numFmtId="0" fontId="44" fillId="39" borderId="13" xfId="3186" applyNumberFormat="1" applyFont="1" applyFill="1" applyBorder="1" applyAlignment="1">
      <alignment horizontal="center" vertical="center"/>
    </xf>
    <xf numFmtId="41" fontId="47" fillId="39" borderId="61" xfId="0" applyNumberFormat="1" applyFont="1" applyFill="1" applyBorder="1">
      <alignment vertical="center"/>
    </xf>
    <xf numFmtId="0" fontId="47" fillId="39" borderId="61" xfId="0" applyNumberFormat="1" applyFont="1" applyFill="1" applyBorder="1">
      <alignment vertical="center"/>
    </xf>
    <xf numFmtId="180" fontId="47" fillId="39" borderId="61" xfId="0" applyNumberFormat="1" applyFont="1" applyFill="1" applyBorder="1">
      <alignment vertical="center"/>
    </xf>
    <xf numFmtId="41" fontId="45" fillId="39" borderId="61" xfId="1" applyNumberFormat="1" applyFont="1" applyFill="1" applyBorder="1">
      <alignment vertical="center"/>
    </xf>
    <xf numFmtId="185" fontId="47" fillId="39" borderId="61" xfId="0" applyNumberFormat="1" applyFont="1" applyFill="1" applyBorder="1">
      <alignment vertical="center"/>
    </xf>
    <xf numFmtId="0" fontId="47" fillId="39" borderId="63" xfId="0" applyNumberFormat="1" applyFont="1" applyFill="1" applyBorder="1">
      <alignment vertical="center"/>
    </xf>
    <xf numFmtId="0" fontId="0" fillId="0" borderId="36" xfId="0" applyNumberFormat="1" applyBorder="1">
      <alignment vertical="center"/>
    </xf>
    <xf numFmtId="41" fontId="43" fillId="0" borderId="0" xfId="1" applyNumberFormat="1" applyFont="1" applyFill="1" applyBorder="1" applyAlignment="1">
      <alignment vertical="center"/>
    </xf>
    <xf numFmtId="0" fontId="33" fillId="0" borderId="65" xfId="0" applyNumberFormat="1" applyFont="1" applyBorder="1" applyAlignment="1">
      <alignment horizontal="left" vertical="center"/>
    </xf>
    <xf numFmtId="3" fontId="48" fillId="0" borderId="44" xfId="0" applyNumberFormat="1" applyFont="1" applyBorder="1" applyAlignment="1">
      <alignment horizontal="right" vertical="center"/>
    </xf>
    <xf numFmtId="41" fontId="43" fillId="0" borderId="0" xfId="1" applyNumberFormat="1" applyFont="1" applyFill="1" applyBorder="1" applyAlignment="1">
      <alignment horizontal="center" vertical="center"/>
    </xf>
    <xf numFmtId="41" fontId="43" fillId="0" borderId="0" xfId="1" applyNumberFormat="1" applyFont="1" applyFill="1" applyBorder="1" applyAlignment="1">
      <alignment horizontal="center" vertical="center" wrapText="1"/>
    </xf>
    <xf numFmtId="0" fontId="44" fillId="54" borderId="20" xfId="3186" applyNumberFormat="1" applyFont="1" applyFill="1" applyBorder="1" applyAlignment="1">
      <alignment horizontal="center" vertical="center"/>
    </xf>
    <xf numFmtId="41" fontId="45" fillId="0" borderId="19" xfId="1" applyNumberFormat="1" applyFont="1" applyBorder="1" applyAlignment="1">
      <alignment horizontal="center" vertical="center"/>
    </xf>
    <xf numFmtId="176" fontId="45" fillId="0" borderId="19" xfId="1" applyNumberFormat="1" applyFont="1" applyBorder="1">
      <alignment vertical="center"/>
    </xf>
    <xf numFmtId="184" fontId="45" fillId="0" borderId="19" xfId="0" applyNumberFormat="1" applyFont="1" applyBorder="1">
      <alignment vertical="center"/>
    </xf>
    <xf numFmtId="182" fontId="45" fillId="0" borderId="19" xfId="1" applyNumberFormat="1" applyFont="1" applyBorder="1">
      <alignment vertical="center"/>
    </xf>
    <xf numFmtId="180" fontId="46" fillId="0" borderId="54" xfId="0" applyNumberFormat="1" applyFont="1" applyFill="1" applyBorder="1">
      <alignment vertical="center"/>
    </xf>
    <xf numFmtId="0" fontId="45" fillId="0" borderId="0" xfId="0" applyNumberFormat="1" applyFont="1" applyBorder="1">
      <alignment vertical="center"/>
    </xf>
    <xf numFmtId="0" fontId="44" fillId="54" borderId="37" xfId="3186" applyNumberFormat="1" applyFont="1" applyFill="1" applyBorder="1" applyAlignment="1">
      <alignment horizontal="center" vertical="center"/>
    </xf>
    <xf numFmtId="176" fontId="45" fillId="0" borderId="36" xfId="1" applyNumberFormat="1" applyFont="1" applyBorder="1">
      <alignment vertical="center"/>
    </xf>
    <xf numFmtId="184" fontId="45" fillId="0" borderId="36" xfId="0" applyNumberFormat="1" applyFont="1" applyBorder="1">
      <alignment vertical="center"/>
    </xf>
    <xf numFmtId="182" fontId="45" fillId="0" borderId="36" xfId="1" applyNumberFormat="1" applyFont="1" applyBorder="1">
      <alignment vertical="center"/>
    </xf>
    <xf numFmtId="180" fontId="46" fillId="0" borderId="40" xfId="0" applyNumberFormat="1" applyFont="1" applyFill="1" applyBorder="1">
      <alignment vertical="center"/>
    </xf>
    <xf numFmtId="0" fontId="44" fillId="54" borderId="49" xfId="3186" applyNumberFormat="1" applyFont="1" applyFill="1" applyBorder="1" applyAlignment="1">
      <alignment horizontal="center" vertical="center"/>
    </xf>
    <xf numFmtId="41" fontId="45" fillId="0" borderId="48" xfId="1" applyNumberFormat="1" applyFont="1" applyBorder="1" applyAlignment="1">
      <alignment horizontal="center" vertical="center"/>
    </xf>
    <xf numFmtId="176" fontId="45" fillId="0" borderId="48" xfId="1" applyNumberFormat="1" applyFont="1" applyBorder="1">
      <alignment vertical="center"/>
    </xf>
    <xf numFmtId="184" fontId="45" fillId="0" borderId="48" xfId="0" applyNumberFormat="1" applyFont="1" applyBorder="1">
      <alignment vertical="center"/>
    </xf>
    <xf numFmtId="182" fontId="45" fillId="0" borderId="48" xfId="1" applyNumberFormat="1" applyFont="1" applyBorder="1">
      <alignment vertical="center"/>
    </xf>
    <xf numFmtId="180" fontId="46" fillId="0" borderId="53" xfId="0" applyNumberFormat="1" applyFont="1" applyFill="1" applyBorder="1">
      <alignment vertical="center"/>
    </xf>
    <xf numFmtId="0" fontId="44" fillId="55" borderId="20" xfId="3186" applyNumberFormat="1" applyFont="1" applyFill="1" applyBorder="1" applyAlignment="1">
      <alignment horizontal="center" vertical="center"/>
    </xf>
    <xf numFmtId="0" fontId="44" fillId="55" borderId="37" xfId="3186" applyNumberFormat="1" applyFont="1" applyFill="1" applyBorder="1" applyAlignment="1">
      <alignment horizontal="center" vertical="center"/>
    </xf>
    <xf numFmtId="0" fontId="44" fillId="39" borderId="18" xfId="3186" applyNumberFormat="1" applyFont="1" applyFill="1" applyBorder="1" applyAlignment="1">
      <alignment horizontal="center" vertical="center"/>
    </xf>
    <xf numFmtId="41" fontId="47" fillId="39" borderId="48" xfId="0" applyNumberFormat="1" applyFont="1" applyFill="1" applyBorder="1">
      <alignment vertical="center"/>
    </xf>
    <xf numFmtId="0" fontId="47" fillId="39" borderId="48" xfId="0" applyNumberFormat="1" applyFont="1" applyFill="1" applyBorder="1">
      <alignment vertical="center"/>
    </xf>
    <xf numFmtId="180" fontId="47" fillId="39" borderId="48" xfId="0" applyNumberFormat="1" applyFont="1" applyFill="1" applyBorder="1">
      <alignment vertical="center"/>
    </xf>
    <xf numFmtId="41" fontId="45" fillId="39" borderId="48" xfId="1" applyNumberFormat="1" applyFont="1" applyFill="1" applyBorder="1">
      <alignment vertical="center"/>
    </xf>
    <xf numFmtId="180" fontId="47" fillId="39" borderId="53" xfId="0" applyNumberFormat="1" applyFont="1" applyFill="1" applyBorder="1">
      <alignment vertical="center"/>
    </xf>
    <xf numFmtId="0" fontId="47" fillId="39" borderId="0" xfId="0" applyNumberFormat="1" applyFont="1" applyFill="1" applyBorder="1">
      <alignment vertical="center"/>
    </xf>
    <xf numFmtId="14" fontId="50" fillId="0" borderId="0" xfId="0" applyNumberFormat="1" applyFont="1">
      <alignment vertical="center"/>
    </xf>
    <xf numFmtId="41" fontId="52" fillId="39" borderId="22" xfId="1" applyNumberFormat="1" applyFont="1" applyFill="1" applyBorder="1" applyAlignment="1">
      <alignment horizontal="center" vertical="center"/>
    </xf>
    <xf numFmtId="41" fontId="52" fillId="39" borderId="48" xfId="1" applyNumberFormat="1" applyFont="1" applyFill="1" applyBorder="1" applyAlignment="1">
      <alignment horizontal="center" vertical="center"/>
    </xf>
    <xf numFmtId="41" fontId="52" fillId="39" borderId="56" xfId="1" applyNumberFormat="1" applyFont="1" applyFill="1" applyBorder="1" applyAlignment="1">
      <alignment horizontal="center" vertical="center" wrapText="1"/>
    </xf>
    <xf numFmtId="41" fontId="52" fillId="39" borderId="18" xfId="1" applyNumberFormat="1" applyFont="1" applyFill="1" applyBorder="1" applyAlignment="1">
      <alignment horizontal="center" vertical="center" wrapText="1"/>
    </xf>
    <xf numFmtId="41" fontId="52" fillId="39" borderId="48" xfId="1" applyNumberFormat="1" applyFont="1" applyFill="1" applyBorder="1" applyAlignment="1">
      <alignment vertical="center" wrapText="1"/>
    </xf>
    <xf numFmtId="41" fontId="52" fillId="39" borderId="53" xfId="1" applyNumberFormat="1" applyFont="1" applyFill="1" applyBorder="1" applyAlignment="1">
      <alignment horizontal="center" vertical="center" wrapText="1"/>
    </xf>
    <xf numFmtId="0" fontId="29" fillId="42" borderId="70" xfId="0" applyNumberFormat="1" applyFont="1" applyFill="1" applyBorder="1" applyAlignment="1">
      <alignment horizontal="left" vertical="center" wrapText="1"/>
    </xf>
    <xf numFmtId="0" fontId="34" fillId="42" borderId="33" xfId="0" applyNumberFormat="1" applyFont="1" applyFill="1" applyBorder="1" applyAlignment="1">
      <alignment horizontal="center" vertical="center"/>
    </xf>
    <xf numFmtId="0" fontId="48" fillId="42" borderId="71" xfId="0" applyNumberFormat="1" applyFont="1" applyFill="1" applyBorder="1" applyAlignment="1">
      <alignment horizontal="center" wrapText="1"/>
    </xf>
    <xf numFmtId="0" fontId="48" fillId="42" borderId="70" xfId="0" applyNumberFormat="1" applyFont="1" applyFill="1" applyBorder="1" applyAlignment="1">
      <alignment horizontal="left" vertical="center" wrapText="1"/>
    </xf>
    <xf numFmtId="0" fontId="54" fillId="42" borderId="33" xfId="0" applyNumberFormat="1" applyFont="1" applyFill="1" applyBorder="1" applyAlignment="1">
      <alignment horizontal="center" vertical="center"/>
    </xf>
    <xf numFmtId="0" fontId="46" fillId="56" borderId="16" xfId="3186" applyNumberFormat="1" applyFont="1" applyFill="1" applyBorder="1" applyAlignment="1">
      <alignment horizontal="center" vertical="center"/>
    </xf>
    <xf numFmtId="41" fontId="55" fillId="0" borderId="38" xfId="1" applyNumberFormat="1" applyFont="1" applyBorder="1" applyAlignment="1">
      <alignment horizontal="center" vertical="center"/>
    </xf>
    <xf numFmtId="41" fontId="55" fillId="0" borderId="38" xfId="1" applyNumberFormat="1" applyFont="1" applyBorder="1">
      <alignment vertical="center"/>
    </xf>
    <xf numFmtId="185" fontId="51" fillId="0" borderId="38" xfId="0" applyNumberFormat="1" applyFont="1" applyBorder="1">
      <alignment vertical="center"/>
    </xf>
    <xf numFmtId="41" fontId="55" fillId="0" borderId="39" xfId="1" applyNumberFormat="1" applyFont="1" applyBorder="1">
      <alignment vertical="center"/>
    </xf>
    <xf numFmtId="41" fontId="55" fillId="0" borderId="16" xfId="1" applyNumberFormat="1" applyFont="1" applyBorder="1">
      <alignment vertical="center"/>
    </xf>
    <xf numFmtId="185" fontId="55" fillId="0" borderId="39" xfId="0" applyNumberFormat="1" applyFont="1" applyBorder="1">
      <alignment vertical="center"/>
    </xf>
    <xf numFmtId="0" fontId="55" fillId="0" borderId="38" xfId="0" applyNumberFormat="1" applyFont="1" applyBorder="1">
      <alignment vertical="center"/>
    </xf>
    <xf numFmtId="0" fontId="55" fillId="0" borderId="58" xfId="0" applyNumberFormat="1" applyFont="1" applyBorder="1">
      <alignment vertical="center"/>
    </xf>
    <xf numFmtId="184" fontId="55" fillId="0" borderId="57" xfId="0" applyNumberFormat="1" applyFont="1" applyBorder="1">
      <alignment vertical="center"/>
    </xf>
    <xf numFmtId="0" fontId="55" fillId="0" borderId="58" xfId="0" applyNumberFormat="1" applyFont="1" applyBorder="1" applyAlignment="1">
      <alignment horizontal="center" vertical="center"/>
    </xf>
    <xf numFmtId="0" fontId="46" fillId="56" borderId="17" xfId="3186" applyNumberFormat="1" applyFont="1" applyFill="1" applyBorder="1" applyAlignment="1">
      <alignment horizontal="center" vertical="center"/>
    </xf>
    <xf numFmtId="41" fontId="55" fillId="0" borderId="36" xfId="1" applyNumberFormat="1" applyFont="1" applyBorder="1" applyAlignment="1">
      <alignment horizontal="center" vertical="center"/>
    </xf>
    <xf numFmtId="41" fontId="55" fillId="0" borderId="36" xfId="1" applyNumberFormat="1" applyFont="1" applyBorder="1">
      <alignment vertical="center"/>
    </xf>
    <xf numFmtId="185" fontId="51" fillId="0" borderId="36" xfId="0" applyNumberFormat="1" applyFont="1" applyBorder="1">
      <alignment vertical="center"/>
    </xf>
    <xf numFmtId="41" fontId="55" fillId="0" borderId="17" xfId="1" applyNumberFormat="1" applyFont="1" applyBorder="1">
      <alignment vertical="center"/>
    </xf>
    <xf numFmtId="185" fontId="55" fillId="0" borderId="55" xfId="0" applyNumberFormat="1" applyFont="1" applyBorder="1">
      <alignment vertical="center"/>
    </xf>
    <xf numFmtId="0" fontId="55" fillId="0" borderId="40" xfId="0" applyNumberFormat="1" applyFont="1" applyBorder="1">
      <alignment vertical="center"/>
    </xf>
    <xf numFmtId="184" fontId="55" fillId="0" borderId="37" xfId="0" applyNumberFormat="1" applyFont="1" applyBorder="1">
      <alignment vertical="center"/>
    </xf>
    <xf numFmtId="0" fontId="55" fillId="0" borderId="40" xfId="0" applyNumberFormat="1" applyFont="1" applyBorder="1" applyAlignment="1">
      <alignment horizontal="center" vertical="center"/>
    </xf>
    <xf numFmtId="0" fontId="46" fillId="56" borderId="24" xfId="3186" applyNumberFormat="1" applyFont="1" applyFill="1" applyBorder="1" applyAlignment="1">
      <alignment horizontal="center" vertical="center"/>
    </xf>
    <xf numFmtId="41" fontId="56" fillId="39" borderId="48" xfId="0" applyNumberFormat="1" applyFont="1" applyFill="1" applyBorder="1">
      <alignment vertical="center"/>
    </xf>
    <xf numFmtId="41" fontId="56" fillId="39" borderId="48" xfId="1" applyNumberFormat="1" applyFont="1" applyFill="1" applyBorder="1">
      <alignment vertical="center"/>
    </xf>
    <xf numFmtId="185" fontId="56" fillId="39" borderId="48" xfId="0" applyNumberFormat="1" applyFont="1" applyFill="1" applyBorder="1">
      <alignment vertical="center"/>
    </xf>
    <xf numFmtId="41" fontId="56" fillId="39" borderId="56" xfId="1" applyNumberFormat="1" applyFont="1" applyFill="1" applyBorder="1">
      <alignment vertical="center"/>
    </xf>
    <xf numFmtId="41" fontId="56" fillId="39" borderId="18" xfId="1" applyNumberFormat="1" applyFont="1" applyFill="1" applyBorder="1">
      <alignment vertical="center"/>
    </xf>
    <xf numFmtId="0" fontId="55" fillId="39" borderId="48" xfId="0" applyNumberFormat="1" applyFont="1" applyFill="1" applyBorder="1">
      <alignment vertical="center"/>
    </xf>
    <xf numFmtId="0" fontId="55" fillId="39" borderId="53" xfId="0" applyNumberFormat="1" applyFont="1" applyFill="1" applyBorder="1">
      <alignment vertical="center"/>
    </xf>
    <xf numFmtId="0" fontId="55" fillId="39" borderId="49" xfId="0" applyNumberFormat="1" applyFont="1" applyFill="1" applyBorder="1">
      <alignment vertical="center"/>
    </xf>
    <xf numFmtId="0" fontId="55" fillId="39" borderId="5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9" fillId="41" borderId="70" xfId="0" applyNumberFormat="1" applyFont="1" applyFill="1" applyBorder="1" applyAlignment="1">
      <alignment horizontal="left" vertical="center" wrapText="1"/>
    </xf>
    <xf numFmtId="0" fontId="34" fillId="41" borderId="33" xfId="0" applyNumberFormat="1" applyFont="1" applyFill="1" applyBorder="1" applyAlignment="1">
      <alignment horizontal="center" vertical="center"/>
    </xf>
    <xf numFmtId="0" fontId="29" fillId="41" borderId="71" xfId="0" applyNumberFormat="1" applyFont="1" applyFill="1" applyBorder="1" applyAlignment="1">
      <alignment horizontal="center" wrapText="1"/>
    </xf>
    <xf numFmtId="14" fontId="0" fillId="0" borderId="0" xfId="0" applyNumberFormat="1">
      <alignment vertical="center"/>
    </xf>
    <xf numFmtId="41" fontId="52" fillId="39" borderId="56" xfId="1" applyNumberFormat="1" applyFont="1" applyFill="1" applyBorder="1" applyAlignment="1">
      <alignment horizontal="center" vertical="center"/>
    </xf>
    <xf numFmtId="0" fontId="44" fillId="56" borderId="15" xfId="3186" applyNumberFormat="1" applyFont="1" applyFill="1" applyBorder="1" applyAlignment="1">
      <alignment horizontal="center" vertical="center"/>
    </xf>
    <xf numFmtId="41" fontId="45" fillId="0" borderId="29" xfId="1" applyNumberFormat="1" applyFont="1" applyFill="1" applyBorder="1" applyAlignment="1" applyProtection="1">
      <alignment horizontal="center" vertical="center"/>
    </xf>
    <xf numFmtId="186" fontId="46" fillId="0" borderId="19" xfId="1" applyNumberFormat="1" applyFont="1" applyFill="1" applyBorder="1" applyAlignment="1" applyProtection="1">
      <alignment horizontal="center" vertical="center"/>
    </xf>
    <xf numFmtId="178" fontId="46" fillId="0" borderId="29" xfId="1" applyNumberFormat="1" applyFont="1" applyFill="1" applyBorder="1" applyAlignment="1" applyProtection="1">
      <alignment horizontal="center" vertical="center"/>
    </xf>
    <xf numFmtId="178" fontId="45" fillId="0" borderId="29" xfId="1" applyNumberFormat="1" applyFont="1" applyFill="1" applyBorder="1" applyAlignment="1" applyProtection="1">
      <alignment horizontal="center" vertical="center"/>
    </xf>
    <xf numFmtId="186" fontId="45" fillId="0" borderId="74" xfId="1" applyNumberFormat="1" applyFont="1" applyFill="1" applyBorder="1" applyAlignment="1" applyProtection="1">
      <alignment horizontal="center" vertical="center"/>
    </xf>
    <xf numFmtId="187" fontId="45" fillId="0" borderId="29" xfId="1" applyNumberFormat="1" applyFont="1" applyFill="1" applyBorder="1" applyAlignment="1" applyProtection="1">
      <alignment horizontal="center" vertical="center"/>
    </xf>
    <xf numFmtId="187" fontId="45" fillId="0" borderId="19" xfId="1" applyNumberFormat="1" applyFont="1" applyFill="1" applyBorder="1" applyAlignment="1" applyProtection="1">
      <alignment horizontal="center" vertical="center"/>
    </xf>
    <xf numFmtId="177" fontId="45" fillId="0" borderId="20" xfId="1" applyNumberFormat="1" applyFont="1" applyFill="1" applyBorder="1" applyAlignment="1" applyProtection="1">
      <alignment horizontal="center" vertical="center"/>
    </xf>
    <xf numFmtId="41" fontId="45" fillId="0" borderId="54" xfId="1" applyNumberFormat="1" applyFont="1" applyFill="1" applyBorder="1" applyAlignment="1" applyProtection="1">
      <alignment horizontal="center" vertical="center"/>
    </xf>
    <xf numFmtId="0" fontId="29" fillId="41" borderId="33" xfId="0" applyNumberFormat="1" applyFont="1" applyFill="1" applyBorder="1" applyAlignment="1">
      <alignment horizontal="center" wrapText="1"/>
    </xf>
    <xf numFmtId="0" fontId="44" fillId="56" borderId="17" xfId="3186" applyNumberFormat="1" applyFont="1" applyFill="1" applyBorder="1" applyAlignment="1">
      <alignment horizontal="center" vertical="center"/>
    </xf>
    <xf numFmtId="41" fontId="45" fillId="0" borderId="36" xfId="1" applyNumberFormat="1" applyFont="1" applyFill="1" applyBorder="1" applyAlignment="1" applyProtection="1">
      <alignment horizontal="center" vertical="center"/>
    </xf>
    <xf numFmtId="186" fontId="46" fillId="0" borderId="38" xfId="1" applyNumberFormat="1" applyFont="1" applyFill="1" applyBorder="1" applyAlignment="1" applyProtection="1">
      <alignment horizontal="center" vertical="center"/>
    </xf>
    <xf numFmtId="178" fontId="46" fillId="0" borderId="36" xfId="1" applyNumberFormat="1" applyFont="1" applyFill="1" applyBorder="1" applyAlignment="1" applyProtection="1">
      <alignment horizontal="center" vertical="center"/>
    </xf>
    <xf numFmtId="178" fontId="45" fillId="0" borderId="36" xfId="1" applyNumberFormat="1" applyFont="1" applyFill="1" applyBorder="1" applyAlignment="1" applyProtection="1">
      <alignment horizontal="center" vertical="center"/>
    </xf>
    <xf numFmtId="186" fontId="45" fillId="0" borderId="36" xfId="1" applyNumberFormat="1" applyFont="1" applyFill="1" applyBorder="1" applyAlignment="1" applyProtection="1">
      <alignment horizontal="center" vertical="center"/>
    </xf>
    <xf numFmtId="187" fontId="45" fillId="0" borderId="36" xfId="1" applyNumberFormat="1" applyFont="1" applyFill="1" applyBorder="1" applyAlignment="1" applyProtection="1">
      <alignment horizontal="center" vertical="center"/>
    </xf>
    <xf numFmtId="187" fontId="45" fillId="0" borderId="38" xfId="1" applyNumberFormat="1" applyFont="1" applyFill="1" applyBorder="1" applyAlignment="1" applyProtection="1">
      <alignment horizontal="center" vertical="center"/>
    </xf>
    <xf numFmtId="177" fontId="45" fillId="0" borderId="57" xfId="1" applyNumberFormat="1" applyFont="1" applyFill="1" applyBorder="1" applyAlignment="1" applyProtection="1">
      <alignment horizontal="center" vertical="center"/>
    </xf>
    <xf numFmtId="41" fontId="45" fillId="0" borderId="58" xfId="1" applyNumberFormat="1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44" fillId="56" borderId="24" xfId="3186" applyNumberFormat="1" applyFont="1" applyFill="1" applyBorder="1" applyAlignment="1">
      <alignment horizontal="center" vertical="center"/>
    </xf>
    <xf numFmtId="41" fontId="45" fillId="0" borderId="38" xfId="1" applyNumberFormat="1" applyFont="1" applyFill="1" applyBorder="1" applyAlignment="1" applyProtection="1">
      <alignment horizontal="center" vertical="center"/>
    </xf>
    <xf numFmtId="189" fontId="45" fillId="0" borderId="25" xfId="1" applyNumberFormat="1" applyFont="1" applyBorder="1" applyAlignment="1">
      <alignment horizontal="center" vertical="center"/>
    </xf>
    <xf numFmtId="189" fontId="45" fillId="0" borderId="25" xfId="0" applyNumberFormat="1" applyFont="1" applyBorder="1">
      <alignment vertical="center"/>
    </xf>
    <xf numFmtId="186" fontId="46" fillId="0" borderId="52" xfId="1" applyNumberFormat="1" applyFont="1" applyFill="1" applyBorder="1" applyAlignment="1" applyProtection="1">
      <alignment horizontal="center" vertical="center"/>
    </xf>
    <xf numFmtId="178" fontId="45" fillId="0" borderId="52" xfId="1" applyNumberFormat="1" applyFont="1" applyFill="1" applyBorder="1" applyAlignment="1" applyProtection="1">
      <alignment horizontal="center" vertical="center"/>
    </xf>
    <xf numFmtId="0" fontId="45" fillId="0" borderId="59" xfId="0" applyNumberFormat="1" applyFont="1" applyBorder="1">
      <alignment vertical="center"/>
    </xf>
    <xf numFmtId="0" fontId="45" fillId="0" borderId="26" xfId="0" applyNumberFormat="1" applyFont="1" applyBorder="1">
      <alignment vertical="center"/>
    </xf>
    <xf numFmtId="0" fontId="45" fillId="0" borderId="28" xfId="0" applyNumberFormat="1" applyFont="1" applyBorder="1">
      <alignment vertical="center"/>
    </xf>
    <xf numFmtId="41" fontId="45" fillId="39" borderId="48" xfId="0" applyNumberFormat="1" applyFont="1" applyFill="1" applyBorder="1">
      <alignment vertical="center"/>
    </xf>
    <xf numFmtId="180" fontId="45" fillId="39" borderId="48" xfId="0" applyNumberFormat="1" applyFont="1" applyFill="1" applyBorder="1">
      <alignment vertical="center"/>
    </xf>
    <xf numFmtId="179" fontId="45" fillId="39" borderId="48" xfId="0" applyNumberFormat="1" applyFont="1" applyFill="1" applyBorder="1">
      <alignment vertical="center"/>
    </xf>
    <xf numFmtId="178" fontId="45" fillId="39" borderId="48" xfId="0" applyNumberFormat="1" applyFont="1" applyFill="1" applyBorder="1">
      <alignment vertical="center"/>
    </xf>
    <xf numFmtId="0" fontId="45" fillId="39" borderId="48" xfId="0" applyNumberFormat="1" applyFont="1" applyFill="1" applyBorder="1">
      <alignment vertical="center"/>
    </xf>
    <xf numFmtId="0" fontId="45" fillId="39" borderId="49" xfId="0" applyNumberFormat="1" applyFont="1" applyFill="1" applyBorder="1">
      <alignment vertical="center"/>
    </xf>
    <xf numFmtId="0" fontId="45" fillId="39" borderId="53" xfId="0" applyNumberFormat="1" applyFont="1" applyFill="1" applyBorder="1">
      <alignment vertical="center"/>
    </xf>
    <xf numFmtId="0" fontId="44" fillId="0" borderId="0" xfId="3186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horizontal="left" vertical="center" wrapText="1"/>
    </xf>
    <xf numFmtId="188" fontId="48" fillId="0" borderId="45" xfId="0" applyNumberFormat="1" applyFont="1" applyBorder="1" applyAlignment="1">
      <alignment horizontal="right" vertical="center"/>
    </xf>
    <xf numFmtId="191" fontId="0" fillId="39" borderId="36" xfId="0" applyNumberFormat="1" applyFill="1" applyBorder="1">
      <alignment vertical="center"/>
    </xf>
    <xf numFmtId="41" fontId="4" fillId="47" borderId="19" xfId="1" applyFont="1" applyFill="1" applyBorder="1" applyAlignment="1">
      <alignment horizontal="center" vertical="center" wrapText="1"/>
    </xf>
    <xf numFmtId="41" fontId="4" fillId="47" borderId="54" xfId="1" applyFont="1" applyFill="1" applyBorder="1" applyAlignment="1">
      <alignment horizontal="center" vertical="center" wrapText="1"/>
    </xf>
    <xf numFmtId="0" fontId="25" fillId="47" borderId="19" xfId="0" applyFont="1" applyFill="1" applyBorder="1" applyAlignment="1">
      <alignment horizontal="center" vertical="center" wrapText="1"/>
    </xf>
    <xf numFmtId="0" fontId="38" fillId="37" borderId="0" xfId="0" applyFont="1" applyFill="1" applyBorder="1" applyAlignment="1">
      <alignment horizontal="center" vertical="center"/>
    </xf>
    <xf numFmtId="0" fontId="57" fillId="33" borderId="36" xfId="0" applyFont="1" applyFill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58" fillId="0" borderId="36" xfId="0" applyFont="1" applyBorder="1" applyAlignment="1">
      <alignment horizontal="center" vertical="center" wrapText="1"/>
    </xf>
    <xf numFmtId="0" fontId="0" fillId="0" borderId="36" xfId="0" applyBorder="1">
      <alignment vertical="center"/>
    </xf>
    <xf numFmtId="180" fontId="58" fillId="0" borderId="36" xfId="0" applyNumberFormat="1" applyFont="1" applyBorder="1" applyAlignment="1">
      <alignment horizontal="center" vertical="center" wrapText="1"/>
    </xf>
    <xf numFmtId="41" fontId="4" fillId="39" borderId="36" xfId="1" applyFont="1" applyFill="1" applyBorder="1" applyAlignment="1">
      <alignment horizontal="center" vertical="center" wrapText="1"/>
    </xf>
    <xf numFmtId="41" fontId="0" fillId="37" borderId="36" xfId="1" applyFont="1" applyFill="1" applyBorder="1">
      <alignment vertical="center"/>
    </xf>
    <xf numFmtId="41" fontId="0" fillId="37" borderId="55" xfId="1" applyFont="1" applyFill="1" applyBorder="1">
      <alignment vertical="center"/>
    </xf>
    <xf numFmtId="41" fontId="0" fillId="37" borderId="0" xfId="0" applyNumberFormat="1" applyFill="1">
      <alignment vertical="center"/>
    </xf>
    <xf numFmtId="192" fontId="0" fillId="39" borderId="36" xfId="0" applyNumberFormat="1" applyFill="1" applyBorder="1">
      <alignment vertical="center"/>
    </xf>
    <xf numFmtId="0" fontId="37" fillId="47" borderId="17" xfId="0" applyFont="1" applyFill="1" applyBorder="1" applyAlignment="1">
      <alignment horizontal="center" vertical="center"/>
    </xf>
    <xf numFmtId="41" fontId="0" fillId="47" borderId="36" xfId="1" applyFont="1" applyFill="1" applyBorder="1" applyAlignment="1">
      <alignment horizontal="center" vertical="center"/>
    </xf>
    <xf numFmtId="180" fontId="0" fillId="47" borderId="36" xfId="0" applyNumberFormat="1" applyFill="1" applyBorder="1">
      <alignment vertical="center"/>
    </xf>
    <xf numFmtId="192" fontId="0" fillId="47" borderId="36" xfId="0" applyNumberFormat="1" applyFill="1" applyBorder="1">
      <alignment vertical="center"/>
    </xf>
    <xf numFmtId="41" fontId="0" fillId="47" borderId="36" xfId="1" applyFont="1" applyFill="1" applyBorder="1">
      <alignment vertical="center"/>
    </xf>
    <xf numFmtId="191" fontId="0" fillId="47" borderId="36" xfId="0" applyNumberFormat="1" applyFill="1" applyBorder="1">
      <alignment vertical="center"/>
    </xf>
    <xf numFmtId="0" fontId="0" fillId="0" borderId="36" xfId="0" applyBorder="1" applyAlignment="1">
      <alignment horizontal="center" vertical="center"/>
    </xf>
    <xf numFmtId="0" fontId="37" fillId="37" borderId="36" xfId="0" applyFont="1" applyFill="1" applyBorder="1" applyAlignment="1">
      <alignment horizontal="center" vertical="center"/>
    </xf>
    <xf numFmtId="191" fontId="0" fillId="37" borderId="36" xfId="0" applyNumberFormat="1" applyFill="1" applyBorder="1" applyAlignment="1">
      <alignment horizontal="right" vertical="center"/>
    </xf>
    <xf numFmtId="191" fontId="0" fillId="0" borderId="36" xfId="0" applyNumberFormat="1" applyBorder="1" applyAlignment="1">
      <alignment horizontal="right" vertical="center"/>
    </xf>
    <xf numFmtId="190" fontId="4" fillId="0" borderId="36" xfId="0" applyNumberFormat="1" applyFont="1" applyBorder="1">
      <alignment vertical="center"/>
    </xf>
    <xf numFmtId="0" fontId="4" fillId="39" borderId="36" xfId="0" applyFont="1" applyFill="1" applyBorder="1" applyAlignment="1">
      <alignment horizontal="center" vertical="center"/>
    </xf>
    <xf numFmtId="41" fontId="0" fillId="39" borderId="36" xfId="1" applyFont="1" applyFill="1" applyBorder="1" applyAlignment="1">
      <alignment horizontal="right" vertical="center"/>
    </xf>
    <xf numFmtId="41" fontId="0" fillId="44" borderId="36" xfId="1" applyFont="1" applyFill="1" applyBorder="1" applyAlignment="1">
      <alignment horizontal="right" vertical="center"/>
    </xf>
    <xf numFmtId="41" fontId="36" fillId="0" borderId="55" xfId="1" applyFont="1" applyBorder="1" applyAlignment="1">
      <alignment horizontal="center" vertical="center"/>
    </xf>
    <xf numFmtId="0" fontId="22" fillId="34" borderId="39" xfId="0" applyFont="1" applyFill="1" applyBorder="1" applyAlignment="1">
      <alignment horizontal="center" vertical="center" wrapText="1"/>
    </xf>
    <xf numFmtId="0" fontId="3" fillId="39" borderId="36" xfId="0" applyFont="1" applyFill="1" applyBorder="1" applyAlignment="1">
      <alignment horizontal="center" vertical="center" wrapText="1"/>
    </xf>
    <xf numFmtId="0" fontId="58" fillId="39" borderId="3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1" fontId="3" fillId="0" borderId="40" xfId="1" applyFont="1" applyBorder="1" applyAlignment="1">
      <alignment horizontal="center" vertical="center"/>
    </xf>
    <xf numFmtId="0" fontId="3" fillId="39" borderId="17" xfId="0" applyFont="1" applyFill="1" applyBorder="1" applyAlignment="1">
      <alignment horizontal="center" vertical="center" wrapText="1"/>
    </xf>
    <xf numFmtId="41" fontId="3" fillId="39" borderId="40" xfId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41" fontId="58" fillId="39" borderId="40" xfId="1" applyFont="1" applyFill="1" applyBorder="1" applyAlignment="1">
      <alignment horizontal="center" vertical="center" wrapText="1"/>
    </xf>
    <xf numFmtId="41" fontId="3" fillId="39" borderId="40" xfId="1" applyFont="1" applyFill="1" applyBorder="1" applyAlignment="1">
      <alignment horizontal="center" vertical="center" wrapText="1"/>
    </xf>
    <xf numFmtId="0" fontId="58" fillId="0" borderId="17" xfId="0" applyFont="1" applyBorder="1" applyAlignment="1">
      <alignment horizontal="center" vertical="center" wrapText="1"/>
    </xf>
    <xf numFmtId="0" fontId="58" fillId="39" borderId="17" xfId="0" applyFont="1" applyFill="1" applyBorder="1" applyAlignment="1">
      <alignment horizontal="center" vertical="center" wrapText="1"/>
    </xf>
    <xf numFmtId="180" fontId="58" fillId="0" borderId="48" xfId="0" applyNumberFormat="1" applyFont="1" applyBorder="1" applyAlignment="1">
      <alignment horizontal="center" vertical="center" wrapText="1"/>
    </xf>
    <xf numFmtId="41" fontId="3" fillId="0" borderId="53" xfId="1" applyFont="1" applyBorder="1" applyAlignment="1">
      <alignment horizontal="center" vertical="center"/>
    </xf>
    <xf numFmtId="41" fontId="4" fillId="33" borderId="54" xfId="1" applyFont="1" applyFill="1" applyBorder="1" applyAlignment="1">
      <alignment horizontal="center" vertical="center" wrapText="1"/>
    </xf>
    <xf numFmtId="41" fontId="4" fillId="33" borderId="40" xfId="1" applyFont="1" applyFill="1" applyBorder="1" applyAlignment="1">
      <alignment horizontal="center" vertical="center" wrapText="1"/>
    </xf>
    <xf numFmtId="0" fontId="11" fillId="57" borderId="18" xfId="0" applyFont="1" applyFill="1" applyBorder="1" applyAlignment="1">
      <alignment horizontal="center" vertical="center"/>
    </xf>
    <xf numFmtId="41" fontId="11" fillId="57" borderId="48" xfId="1" applyFont="1" applyFill="1" applyBorder="1" applyAlignment="1">
      <alignment horizontal="center" vertical="center"/>
    </xf>
    <xf numFmtId="180" fontId="11" fillId="57" borderId="48" xfId="0" applyNumberFormat="1" applyFont="1" applyFill="1" applyBorder="1">
      <alignment vertical="center"/>
    </xf>
    <xf numFmtId="41" fontId="11" fillId="57" borderId="56" xfId="1" applyFont="1" applyFill="1" applyBorder="1" applyAlignment="1">
      <alignment horizontal="center" vertical="center"/>
    </xf>
    <xf numFmtId="180" fontId="59" fillId="39" borderId="36" xfId="0" applyNumberFormat="1" applyFont="1" applyFill="1" applyBorder="1" applyAlignment="1">
      <alignment horizontal="center" vertical="center" wrapText="1"/>
    </xf>
    <xf numFmtId="0" fontId="22" fillId="34" borderId="7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190" fontId="4" fillId="0" borderId="48" xfId="0" applyNumberFormat="1" applyFont="1" applyBorder="1">
      <alignment vertical="center"/>
    </xf>
    <xf numFmtId="190" fontId="4" fillId="0" borderId="53" xfId="0" applyNumberFormat="1" applyFont="1" applyBorder="1">
      <alignment vertical="center"/>
    </xf>
    <xf numFmtId="190" fontId="4" fillId="0" borderId="40" xfId="0" applyNumberFormat="1" applyFont="1" applyBorder="1">
      <alignment vertical="center"/>
    </xf>
    <xf numFmtId="41" fontId="4" fillId="37" borderId="36" xfId="1" applyFont="1" applyFill="1" applyBorder="1" applyAlignment="1">
      <alignment horizontal="right" vertical="center"/>
    </xf>
    <xf numFmtId="41" fontId="4" fillId="44" borderId="36" xfId="1" applyFont="1" applyFill="1" applyBorder="1" applyAlignment="1">
      <alignment horizontal="right" vertical="center"/>
    </xf>
    <xf numFmtId="0" fontId="0" fillId="44" borderId="36" xfId="0" applyFill="1" applyBorder="1">
      <alignment vertical="center"/>
    </xf>
    <xf numFmtId="191" fontId="0" fillId="44" borderId="36" xfId="0" applyNumberFormat="1" applyFill="1" applyBorder="1" applyAlignment="1">
      <alignment horizontal="right" vertical="center"/>
    </xf>
    <xf numFmtId="0" fontId="4" fillId="44" borderId="36" xfId="0" applyFont="1" applyFill="1" applyBorder="1" applyAlignment="1">
      <alignment horizontal="center" vertical="center"/>
    </xf>
    <xf numFmtId="0" fontId="4" fillId="58" borderId="36" xfId="0" applyFont="1" applyFill="1" applyBorder="1" applyAlignment="1">
      <alignment horizontal="center" vertical="center"/>
    </xf>
    <xf numFmtId="0" fontId="4" fillId="58" borderId="40" xfId="0" applyFont="1" applyFill="1" applyBorder="1" applyAlignment="1">
      <alignment horizontal="center" vertical="center"/>
    </xf>
    <xf numFmtId="0" fontId="4" fillId="59" borderId="36" xfId="0" applyFont="1" applyFill="1" applyBorder="1" applyAlignment="1">
      <alignment horizontal="center" vertical="center"/>
    </xf>
    <xf numFmtId="0" fontId="4" fillId="59" borderId="40" xfId="0" applyFont="1" applyFill="1" applyBorder="1" applyAlignment="1">
      <alignment horizontal="center" vertical="center"/>
    </xf>
    <xf numFmtId="0" fontId="4" fillId="60" borderId="36" xfId="0" applyFont="1" applyFill="1" applyBorder="1" applyAlignment="1">
      <alignment horizontal="center" vertical="center"/>
    </xf>
    <xf numFmtId="0" fontId="4" fillId="60" borderId="40" xfId="0" applyFont="1" applyFill="1" applyBorder="1" applyAlignment="1">
      <alignment horizontal="center" vertical="center"/>
    </xf>
    <xf numFmtId="0" fontId="0" fillId="39" borderId="36" xfId="0" applyFill="1" applyBorder="1">
      <alignment vertical="center"/>
    </xf>
    <xf numFmtId="191" fontId="0" fillId="39" borderId="36" xfId="0" applyNumberFormat="1" applyFill="1" applyBorder="1" applyAlignment="1">
      <alignment horizontal="right" vertical="center"/>
    </xf>
    <xf numFmtId="41" fontId="4" fillId="39" borderId="36" xfId="1" applyFont="1" applyFill="1" applyBorder="1" applyAlignment="1">
      <alignment horizontal="right" vertical="center"/>
    </xf>
    <xf numFmtId="0" fontId="4" fillId="61" borderId="36" xfId="0" applyFont="1" applyFill="1" applyBorder="1" applyAlignment="1">
      <alignment horizontal="center" vertical="center"/>
    </xf>
    <xf numFmtId="0" fontId="4" fillId="61" borderId="40" xfId="0" applyFont="1" applyFill="1" applyBorder="1" applyAlignment="1">
      <alignment horizontal="center" vertical="center"/>
    </xf>
    <xf numFmtId="0" fontId="4" fillId="44" borderId="15" xfId="0" applyFont="1" applyFill="1" applyBorder="1" applyAlignment="1">
      <alignment horizontal="center" vertical="center"/>
    </xf>
    <xf numFmtId="0" fontId="4" fillId="44" borderId="19" xfId="0" applyFont="1" applyFill="1" applyBorder="1" applyAlignment="1">
      <alignment horizontal="center" vertical="center"/>
    </xf>
    <xf numFmtId="0" fontId="4" fillId="44" borderId="54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37" borderId="18" xfId="0" applyFont="1" applyFill="1" applyBorder="1" applyAlignment="1">
      <alignment horizontal="center" vertical="center"/>
    </xf>
    <xf numFmtId="0" fontId="3" fillId="0" borderId="40" xfId="0" applyFont="1" applyBorder="1">
      <alignment vertical="center"/>
    </xf>
    <xf numFmtId="0" fontId="3" fillId="0" borderId="24" xfId="0" applyFont="1" applyFill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 wrapText="1"/>
    </xf>
    <xf numFmtId="180" fontId="58" fillId="0" borderId="25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41" fontId="3" fillId="0" borderId="28" xfId="1" applyFont="1" applyBorder="1" applyAlignment="1">
      <alignment horizontal="center" vertical="center"/>
    </xf>
    <xf numFmtId="0" fontId="3" fillId="39" borderId="15" xfId="0" applyFont="1" applyFill="1" applyBorder="1" applyAlignment="1">
      <alignment horizontal="center" vertical="center" wrapText="1"/>
    </xf>
    <xf numFmtId="0" fontId="58" fillId="39" borderId="19" xfId="0" applyFont="1" applyFill="1" applyBorder="1" applyAlignment="1">
      <alignment horizontal="center" vertical="center" wrapText="1"/>
    </xf>
    <xf numFmtId="180" fontId="59" fillId="39" borderId="19" xfId="0" applyNumberFormat="1" applyFont="1" applyFill="1" applyBorder="1" applyAlignment="1">
      <alignment horizontal="center" vertical="center" wrapText="1"/>
    </xf>
    <xf numFmtId="0" fontId="3" fillId="39" borderId="19" xfId="0" applyFont="1" applyFill="1" applyBorder="1" applyAlignment="1">
      <alignment horizontal="center" vertical="center" wrapText="1"/>
    </xf>
    <xf numFmtId="41" fontId="3" fillId="39" borderId="54" xfId="1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58" fillId="0" borderId="48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41" fontId="3" fillId="0" borderId="47" xfId="1" applyFont="1" applyFill="1" applyBorder="1" applyAlignment="1">
      <alignment horizontal="center" vertical="center" wrapText="1"/>
    </xf>
    <xf numFmtId="41" fontId="3" fillId="0" borderId="50" xfId="1" applyFont="1" applyBorder="1">
      <alignment vertical="center"/>
    </xf>
    <xf numFmtId="180" fontId="58" fillId="0" borderId="50" xfId="0" applyNumberFormat="1" applyFont="1" applyBorder="1" applyAlignment="1">
      <alignment horizontal="center" vertical="center" wrapText="1"/>
    </xf>
    <xf numFmtId="41" fontId="3" fillId="0" borderId="69" xfId="1" applyFont="1" applyBorder="1" applyAlignment="1">
      <alignment horizontal="center" vertical="center"/>
    </xf>
    <xf numFmtId="41" fontId="3" fillId="39" borderId="54" xfId="1" applyFont="1" applyFill="1" applyBorder="1" applyAlignment="1">
      <alignment horizontal="center" vertical="center" wrapText="1"/>
    </xf>
    <xf numFmtId="0" fontId="3" fillId="0" borderId="40" xfId="0" applyFont="1" applyBorder="1" applyAlignment="1">
      <alignment vertical="center" shrinkToFit="1"/>
    </xf>
    <xf numFmtId="180" fontId="0" fillId="0" borderId="55" xfId="0" applyNumberFormat="1" applyBorder="1" applyAlignment="1">
      <alignment horizontal="center" vertical="center"/>
    </xf>
    <xf numFmtId="180" fontId="0" fillId="47" borderId="55" xfId="0" applyNumberFormat="1" applyFill="1" applyBorder="1" applyAlignment="1">
      <alignment horizontal="center" vertical="center"/>
    </xf>
    <xf numFmtId="41" fontId="0" fillId="0" borderId="77" xfId="1" applyFont="1" applyBorder="1" applyAlignment="1">
      <alignment horizontal="center" vertical="center"/>
    </xf>
    <xf numFmtId="41" fontId="0" fillId="47" borderId="77" xfId="1" applyFont="1" applyFill="1" applyBorder="1">
      <alignment vertical="center"/>
    </xf>
    <xf numFmtId="41" fontId="11" fillId="57" borderId="78" xfId="1" applyFont="1" applyFill="1" applyBorder="1" applyAlignment="1">
      <alignment horizontal="center" vertical="center"/>
    </xf>
    <xf numFmtId="41" fontId="0" fillId="37" borderId="37" xfId="0" applyNumberFormat="1" applyFill="1" applyBorder="1">
      <alignment vertical="center"/>
    </xf>
    <xf numFmtId="41" fontId="0" fillId="47" borderId="37" xfId="0" applyNumberFormat="1" applyFill="1" applyBorder="1">
      <alignment vertical="center"/>
    </xf>
    <xf numFmtId="41" fontId="11" fillId="57" borderId="37" xfId="0" applyNumberFormat="1" applyFont="1" applyFill="1" applyBorder="1">
      <alignment vertical="center"/>
    </xf>
    <xf numFmtId="41" fontId="4" fillId="61" borderId="17" xfId="1" applyFont="1" applyFill="1" applyBorder="1" applyAlignment="1">
      <alignment horizontal="center" vertical="center" wrapText="1"/>
    </xf>
    <xf numFmtId="41" fontId="4" fillId="39" borderId="40" xfId="1" applyFont="1" applyFill="1" applyBorder="1" applyAlignment="1">
      <alignment horizontal="center" vertical="center" wrapText="1"/>
    </xf>
    <xf numFmtId="41" fontId="0" fillId="37" borderId="17" xfId="1" applyFont="1" applyFill="1" applyBorder="1">
      <alignment vertical="center"/>
    </xf>
    <xf numFmtId="41" fontId="0" fillId="37" borderId="40" xfId="1" applyFont="1" applyFill="1" applyBorder="1">
      <alignment vertical="center"/>
    </xf>
    <xf numFmtId="41" fontId="0" fillId="47" borderId="17" xfId="1" applyFont="1" applyFill="1" applyBorder="1">
      <alignment vertical="center"/>
    </xf>
    <xf numFmtId="41" fontId="0" fillId="47" borderId="40" xfId="1" applyFont="1" applyFill="1" applyBorder="1">
      <alignment vertical="center"/>
    </xf>
    <xf numFmtId="41" fontId="11" fillId="57" borderId="64" xfId="1" applyFont="1" applyFill="1" applyBorder="1" applyAlignment="1">
      <alignment horizontal="center" vertical="center"/>
    </xf>
    <xf numFmtId="41" fontId="11" fillId="57" borderId="40" xfId="1" applyFont="1" applyFill="1" applyBorder="1">
      <alignment vertical="center"/>
    </xf>
    <xf numFmtId="41" fontId="60" fillId="47" borderId="55" xfId="1" applyFont="1" applyFill="1" applyBorder="1">
      <alignment vertical="center"/>
    </xf>
    <xf numFmtId="41" fontId="60" fillId="37" borderId="55" xfId="1" applyFont="1" applyFill="1" applyBorder="1">
      <alignment vertical="center"/>
    </xf>
    <xf numFmtId="0" fontId="23" fillId="49" borderId="11" xfId="0" applyFont="1" applyFill="1" applyBorder="1" applyAlignment="1">
      <alignment horizontal="center" vertical="center"/>
    </xf>
    <xf numFmtId="0" fontId="23" fillId="49" borderId="12" xfId="0" applyFont="1" applyFill="1" applyBorder="1" applyAlignment="1">
      <alignment horizontal="center" vertical="center"/>
    </xf>
    <xf numFmtId="0" fontId="23" fillId="49" borderId="10" xfId="0" applyFont="1" applyFill="1" applyBorder="1" applyAlignment="1">
      <alignment horizontal="center" vertical="center"/>
    </xf>
    <xf numFmtId="0" fontId="22" fillId="34" borderId="19" xfId="0" applyFont="1" applyFill="1" applyBorder="1" applyAlignment="1">
      <alignment horizontal="center" vertical="center" wrapText="1"/>
    </xf>
    <xf numFmtId="0" fontId="22" fillId="34" borderId="19" xfId="0" applyFont="1" applyFill="1" applyBorder="1" applyAlignment="1">
      <alignment horizontal="center" vertical="center"/>
    </xf>
    <xf numFmtId="0" fontId="22" fillId="34" borderId="14" xfId="2" applyNumberFormat="1" applyFont="1" applyFill="1" applyBorder="1" applyAlignment="1">
      <alignment horizontal="center" vertical="center"/>
    </xf>
    <xf numFmtId="0" fontId="22" fillId="34" borderId="16" xfId="2" applyNumberFormat="1" applyFont="1" applyFill="1" applyBorder="1" applyAlignment="1">
      <alignment horizontal="center" vertical="center"/>
    </xf>
    <xf numFmtId="0" fontId="22" fillId="34" borderId="31" xfId="0" applyFont="1" applyFill="1" applyBorder="1" applyAlignment="1">
      <alignment horizontal="center" vertical="center"/>
    </xf>
    <xf numFmtId="0" fontId="22" fillId="34" borderId="58" xfId="0" applyFont="1" applyFill="1" applyBorder="1" applyAlignment="1">
      <alignment horizontal="center" vertical="center"/>
    </xf>
    <xf numFmtId="41" fontId="4" fillId="39" borderId="23" xfId="1" applyFont="1" applyFill="1" applyBorder="1" applyAlignment="1">
      <alignment horizontal="center" vertical="center" wrapText="1"/>
    </xf>
    <xf numFmtId="41" fontId="4" fillId="39" borderId="79" xfId="1" applyFont="1" applyFill="1" applyBorder="1" applyAlignment="1">
      <alignment horizontal="center" vertical="center" wrapText="1"/>
    </xf>
    <xf numFmtId="41" fontId="59" fillId="0" borderId="55" xfId="1" applyFont="1" applyBorder="1" applyAlignment="1">
      <alignment horizontal="center" vertical="center"/>
    </xf>
    <xf numFmtId="41" fontId="59" fillId="0" borderId="75" xfId="1" applyFont="1" applyBorder="1" applyAlignment="1">
      <alignment horizontal="center" vertical="center"/>
    </xf>
    <xf numFmtId="0" fontId="38" fillId="37" borderId="0" xfId="0" applyFont="1" applyFill="1" applyBorder="1" applyAlignment="1">
      <alignment horizontal="center" vertical="center"/>
    </xf>
    <xf numFmtId="0" fontId="25" fillId="33" borderId="74" xfId="0" applyFont="1" applyFill="1" applyBorder="1" applyAlignment="1">
      <alignment horizontal="center" vertical="center"/>
    </xf>
    <xf numFmtId="0" fontId="25" fillId="33" borderId="72" xfId="0" applyFont="1" applyFill="1" applyBorder="1" applyAlignment="1">
      <alignment horizontal="center" vertical="center"/>
    </xf>
    <xf numFmtId="0" fontId="25" fillId="33" borderId="67" xfId="0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/>
    </xf>
    <xf numFmtId="0" fontId="25" fillId="33" borderId="17" xfId="0" applyFont="1" applyFill="1" applyBorder="1" applyAlignment="1">
      <alignment horizontal="center" vertical="center"/>
    </xf>
    <xf numFmtId="0" fontId="25" fillId="48" borderId="19" xfId="0" applyFont="1" applyFill="1" applyBorder="1" applyAlignment="1">
      <alignment horizontal="center" vertical="center"/>
    </xf>
    <xf numFmtId="0" fontId="25" fillId="46" borderId="19" xfId="0" applyFont="1" applyFill="1" applyBorder="1" applyAlignment="1">
      <alignment horizontal="center" vertical="center"/>
    </xf>
    <xf numFmtId="0" fontId="25" fillId="36" borderId="21" xfId="0" applyFont="1" applyFill="1" applyBorder="1" applyAlignment="1">
      <alignment horizontal="center" vertical="center" wrapText="1"/>
    </xf>
    <xf numFmtId="0" fontId="25" fillId="36" borderId="55" xfId="0" applyFont="1" applyFill="1" applyBorder="1" applyAlignment="1">
      <alignment horizontal="center" vertical="center"/>
    </xf>
    <xf numFmtId="41" fontId="4" fillId="47" borderId="76" xfId="1" applyFont="1" applyFill="1" applyBorder="1" applyAlignment="1">
      <alignment horizontal="center" vertical="center" wrapText="1"/>
    </xf>
    <xf numFmtId="41" fontId="4" fillId="47" borderId="77" xfId="1" applyFont="1" applyFill="1" applyBorder="1" applyAlignment="1">
      <alignment horizontal="center" vertical="center" wrapText="1"/>
    </xf>
    <xf numFmtId="0" fontId="25" fillId="35" borderId="21" xfId="0" applyFont="1" applyFill="1" applyBorder="1" applyAlignment="1">
      <alignment horizontal="center" vertical="center"/>
    </xf>
    <xf numFmtId="0" fontId="25" fillId="35" borderId="22" xfId="0" applyFont="1" applyFill="1" applyBorder="1" applyAlignment="1">
      <alignment horizontal="center" vertical="center"/>
    </xf>
    <xf numFmtId="0" fontId="25" fillId="35" borderId="20" xfId="0" applyFont="1" applyFill="1" applyBorder="1" applyAlignment="1">
      <alignment horizontal="center" vertical="center"/>
    </xf>
    <xf numFmtId="0" fontId="0" fillId="37" borderId="0" xfId="0" applyFill="1" applyBorder="1" applyAlignment="1">
      <alignment horizontal="right" vertical="center"/>
    </xf>
    <xf numFmtId="41" fontId="61" fillId="47" borderId="15" xfId="1" applyFont="1" applyFill="1" applyBorder="1" applyAlignment="1">
      <alignment horizontal="center" vertical="center" wrapText="1"/>
    </xf>
    <xf numFmtId="41" fontId="61" fillId="47" borderId="19" xfId="1" applyFont="1" applyFill="1" applyBorder="1" applyAlignment="1">
      <alignment horizontal="center" vertical="center" wrapText="1"/>
    </xf>
    <xf numFmtId="0" fontId="29" fillId="41" borderId="32" xfId="0" applyNumberFormat="1" applyFont="1" applyFill="1" applyBorder="1" applyAlignment="1">
      <alignment horizontal="left" vertical="center" wrapText="1"/>
    </xf>
    <xf numFmtId="0" fontId="29" fillId="41" borderId="41" xfId="0" applyNumberFormat="1" applyFont="1" applyFill="1" applyBorder="1" applyAlignment="1">
      <alignment horizontal="left" vertical="center" wrapText="1"/>
    </xf>
    <xf numFmtId="0" fontId="29" fillId="41" borderId="33" xfId="0" applyNumberFormat="1" applyFont="1" applyFill="1" applyBorder="1" applyAlignment="1">
      <alignment horizontal="center" wrapText="1"/>
    </xf>
    <xf numFmtId="0" fontId="29" fillId="41" borderId="34" xfId="0" applyNumberFormat="1" applyFont="1" applyFill="1" applyBorder="1" applyAlignment="1">
      <alignment horizontal="center" wrapText="1"/>
    </xf>
    <xf numFmtId="0" fontId="29" fillId="41" borderId="32" xfId="0" applyNumberFormat="1" applyFont="1" applyFill="1" applyBorder="1" applyAlignment="1">
      <alignment horizontal="center" wrapText="1"/>
    </xf>
    <xf numFmtId="0" fontId="42" fillId="52" borderId="14" xfId="0" applyNumberFormat="1" applyFont="1" applyFill="1" applyBorder="1" applyAlignment="1">
      <alignment horizontal="center" vertical="center"/>
    </xf>
    <xf numFmtId="0" fontId="42" fillId="52" borderId="35" xfId="0" applyNumberFormat="1" applyFont="1" applyFill="1" applyBorder="1" applyAlignment="1">
      <alignment horizontal="center" vertical="center"/>
    </xf>
    <xf numFmtId="0" fontId="42" fillId="52" borderId="47" xfId="0" applyNumberFormat="1" applyFont="1" applyFill="1" applyBorder="1" applyAlignment="1">
      <alignment horizontal="center" vertical="center"/>
    </xf>
    <xf numFmtId="0" fontId="42" fillId="53" borderId="15" xfId="0" applyNumberFormat="1" applyFont="1" applyFill="1" applyBorder="1" applyAlignment="1">
      <alignment horizontal="center" vertical="center"/>
    </xf>
    <xf numFmtId="0" fontId="42" fillId="53" borderId="17" xfId="0" applyNumberFormat="1" applyFont="1" applyFill="1" applyBorder="1" applyAlignment="1">
      <alignment horizontal="center" vertical="center"/>
    </xf>
    <xf numFmtId="0" fontId="42" fillId="53" borderId="18" xfId="0" applyNumberFormat="1" applyFont="1" applyFill="1" applyBorder="1" applyAlignment="1">
      <alignment horizontal="center" vertical="center"/>
    </xf>
    <xf numFmtId="0" fontId="42" fillId="45" borderId="14" xfId="0" applyNumberFormat="1" applyFont="1" applyFill="1" applyBorder="1" applyAlignment="1">
      <alignment horizontal="center" vertical="center"/>
    </xf>
    <xf numFmtId="0" fontId="42" fillId="45" borderId="35" xfId="0" applyNumberFormat="1" applyFont="1" applyFill="1" applyBorder="1" applyAlignment="1">
      <alignment horizontal="center" vertical="center"/>
    </xf>
    <xf numFmtId="41" fontId="43" fillId="39" borderId="36" xfId="1" applyNumberFormat="1" applyFont="1" applyFill="1" applyBorder="1" applyAlignment="1">
      <alignment horizontal="center" vertical="center"/>
    </xf>
    <xf numFmtId="41" fontId="43" fillId="39" borderId="25" xfId="1" applyNumberFormat="1" applyFont="1" applyFill="1" applyBorder="1" applyAlignment="1">
      <alignment horizontal="center" vertical="center"/>
    </xf>
    <xf numFmtId="0" fontId="42" fillId="43" borderId="14" xfId="0" applyNumberFormat="1" applyFont="1" applyFill="1" applyBorder="1" applyAlignment="1">
      <alignment horizontal="center" vertical="center"/>
    </xf>
    <xf numFmtId="0" fontId="42" fillId="43" borderId="35" xfId="0" applyNumberFormat="1" applyFont="1" applyFill="1" applyBorder="1" applyAlignment="1">
      <alignment horizontal="center" vertical="center"/>
    </xf>
    <xf numFmtId="0" fontId="42" fillId="43" borderId="47" xfId="0" applyNumberFormat="1" applyFont="1" applyFill="1" applyBorder="1" applyAlignment="1">
      <alignment horizontal="center" vertical="center"/>
    </xf>
    <xf numFmtId="0" fontId="42" fillId="40" borderId="14" xfId="0" applyNumberFormat="1" applyFont="1" applyFill="1" applyBorder="1" applyAlignment="1">
      <alignment horizontal="center" vertical="center"/>
    </xf>
    <xf numFmtId="0" fontId="42" fillId="40" borderId="35" xfId="0" applyNumberFormat="1" applyFont="1" applyFill="1" applyBorder="1" applyAlignment="1">
      <alignment horizontal="center" vertical="center"/>
    </xf>
    <xf numFmtId="0" fontId="42" fillId="40" borderId="47" xfId="0" applyNumberFormat="1" applyFont="1" applyFill="1" applyBorder="1" applyAlignment="1">
      <alignment horizontal="center" vertical="center"/>
    </xf>
    <xf numFmtId="0" fontId="40" fillId="50" borderId="0" xfId="0" applyNumberFormat="1" applyFont="1" applyFill="1" applyAlignment="1">
      <alignment horizontal="center" vertical="center"/>
    </xf>
    <xf numFmtId="0" fontId="41" fillId="0" borderId="0" xfId="0" applyNumberFormat="1" applyFont="1" applyBorder="1" applyAlignment="1">
      <alignment horizontal="center" vertical="center"/>
    </xf>
    <xf numFmtId="0" fontId="42" fillId="38" borderId="15" xfId="0" applyNumberFormat="1" applyFont="1" applyFill="1" applyBorder="1" applyAlignment="1">
      <alignment horizontal="center" vertical="center"/>
    </xf>
    <xf numFmtId="0" fontId="42" fillId="38" borderId="24" xfId="0" applyNumberFormat="1" applyFont="1" applyFill="1" applyBorder="1" applyAlignment="1">
      <alignment horizontal="center" vertical="center"/>
    </xf>
    <xf numFmtId="41" fontId="43" fillId="38" borderId="20" xfId="1" applyNumberFormat="1" applyFont="1" applyFill="1" applyBorder="1" applyAlignment="1">
      <alignment horizontal="center" vertical="center"/>
    </xf>
    <xf numFmtId="41" fontId="43" fillId="38" borderId="26" xfId="1" applyNumberFormat="1" applyFont="1" applyFill="1" applyBorder="1" applyAlignment="1">
      <alignment horizontal="center" vertical="center"/>
    </xf>
    <xf numFmtId="41" fontId="43" fillId="38" borderId="19" xfId="1" applyNumberFormat="1" applyFont="1" applyFill="1" applyBorder="1" applyAlignment="1">
      <alignment horizontal="center" vertical="center"/>
    </xf>
    <xf numFmtId="41" fontId="43" fillId="38" borderId="21" xfId="1" applyNumberFormat="1" applyFont="1" applyFill="1" applyBorder="1" applyAlignment="1">
      <alignment horizontal="center" vertical="center"/>
    </xf>
    <xf numFmtId="41" fontId="43" fillId="39" borderId="15" xfId="1" applyNumberFormat="1" applyFont="1" applyFill="1" applyBorder="1" applyAlignment="1">
      <alignment horizontal="center" vertical="center"/>
    </xf>
    <xf numFmtId="41" fontId="43" fillId="39" borderId="17" xfId="1" applyNumberFormat="1" applyFont="1" applyFill="1" applyBorder="1" applyAlignment="1">
      <alignment horizontal="center" vertical="center"/>
    </xf>
    <xf numFmtId="41" fontId="43" fillId="39" borderId="20" xfId="1" applyNumberFormat="1" applyFont="1" applyFill="1" applyBorder="1" applyAlignment="1">
      <alignment horizontal="center" vertical="center"/>
    </xf>
    <xf numFmtId="41" fontId="43" fillId="39" borderId="26" xfId="1" applyNumberFormat="1" applyFont="1" applyFill="1" applyBorder="1" applyAlignment="1">
      <alignment horizontal="center" vertical="center"/>
    </xf>
    <xf numFmtId="41" fontId="43" fillId="39" borderId="21" xfId="1" applyNumberFormat="1" applyFont="1" applyFill="1" applyBorder="1" applyAlignment="1">
      <alignment horizontal="center" vertical="center"/>
    </xf>
    <xf numFmtId="41" fontId="43" fillId="39" borderId="22" xfId="1" applyNumberFormat="1" applyFont="1" applyFill="1" applyBorder="1" applyAlignment="1">
      <alignment horizontal="center" vertical="center"/>
    </xf>
    <xf numFmtId="41" fontId="43" fillId="39" borderId="23" xfId="1" applyNumberFormat="1" applyFont="1" applyFill="1" applyBorder="1" applyAlignment="1">
      <alignment horizontal="center" vertical="center"/>
    </xf>
    <xf numFmtId="0" fontId="30" fillId="0" borderId="46" xfId="0" applyNumberFormat="1" applyFont="1" applyBorder="1" applyAlignment="1">
      <alignment horizontal="left" vertical="center" wrapText="1"/>
    </xf>
    <xf numFmtId="0" fontId="30" fillId="0" borderId="70" xfId="0" applyNumberFormat="1" applyFont="1" applyBorder="1" applyAlignment="1">
      <alignment horizontal="left" vertical="center" wrapText="1"/>
    </xf>
    <xf numFmtId="0" fontId="33" fillId="0" borderId="65" xfId="0" applyNumberFormat="1" applyFont="1" applyBorder="1" applyAlignment="1">
      <alignment horizontal="left" vertical="center"/>
    </xf>
    <xf numFmtId="0" fontId="33" fillId="0" borderId="70" xfId="0" applyNumberFormat="1" applyFont="1" applyBorder="1" applyAlignment="1">
      <alignment horizontal="left" vertical="center"/>
    </xf>
    <xf numFmtId="0" fontId="30" fillId="44" borderId="46" xfId="0" applyNumberFormat="1" applyFont="1" applyFill="1" applyBorder="1" applyAlignment="1">
      <alignment horizontal="left" vertical="center" wrapText="1"/>
    </xf>
    <xf numFmtId="0" fontId="30" fillId="44" borderId="70" xfId="0" applyNumberFormat="1" applyFont="1" applyFill="1" applyBorder="1" applyAlignment="1">
      <alignment horizontal="left" vertical="center" wrapText="1"/>
    </xf>
    <xf numFmtId="0" fontId="30" fillId="0" borderId="44" xfId="0" applyNumberFormat="1" applyFont="1" applyBorder="1" applyAlignment="1">
      <alignment horizontal="left" vertical="center" wrapText="1"/>
    </xf>
    <xf numFmtId="0" fontId="30" fillId="0" borderId="41" xfId="0" applyNumberFormat="1" applyFont="1" applyBorder="1" applyAlignment="1">
      <alignment horizontal="left" vertical="center" wrapText="1"/>
    </xf>
    <xf numFmtId="0" fontId="49" fillId="50" borderId="0" xfId="0" applyNumberFormat="1" applyFont="1" applyFill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41" fontId="51" fillId="39" borderId="15" xfId="1" applyNumberFormat="1" applyFont="1" applyFill="1" applyBorder="1" applyAlignment="1">
      <alignment horizontal="center" vertical="center"/>
    </xf>
    <xf numFmtId="41" fontId="51" fillId="39" borderId="18" xfId="1" applyNumberFormat="1" applyFont="1" applyFill="1" applyBorder="1" applyAlignment="1">
      <alignment horizontal="center" vertical="center"/>
    </xf>
    <xf numFmtId="41" fontId="52" fillId="39" borderId="21" xfId="1" applyNumberFormat="1" applyFont="1" applyFill="1" applyBorder="1" applyAlignment="1">
      <alignment horizontal="center" vertical="center"/>
    </xf>
    <xf numFmtId="41" fontId="52" fillId="39" borderId="22" xfId="1" applyNumberFormat="1" applyFont="1" applyFill="1" applyBorder="1" applyAlignment="1">
      <alignment horizontal="center" vertical="center"/>
    </xf>
    <xf numFmtId="41" fontId="52" fillId="39" borderId="66" xfId="1" applyNumberFormat="1" applyFont="1" applyFill="1" applyBorder="1" applyAlignment="1">
      <alignment horizontal="center" vertical="center"/>
    </xf>
    <xf numFmtId="41" fontId="52" fillId="39" borderId="23" xfId="1" applyNumberFormat="1" applyFont="1" applyFill="1" applyBorder="1" applyAlignment="1">
      <alignment horizontal="center" vertical="center"/>
    </xf>
    <xf numFmtId="41" fontId="52" fillId="39" borderId="67" xfId="1" applyNumberFormat="1" applyFont="1" applyFill="1" applyBorder="1" applyAlignment="1">
      <alignment horizontal="center" vertical="center" wrapText="1"/>
    </xf>
    <xf numFmtId="41" fontId="52" fillId="39" borderId="68" xfId="1" applyNumberFormat="1" applyFont="1" applyFill="1" applyBorder="1" applyAlignment="1">
      <alignment horizontal="center" vertical="center"/>
    </xf>
    <xf numFmtId="41" fontId="53" fillId="39" borderId="29" xfId="1" applyNumberFormat="1" applyFont="1" applyFill="1" applyBorder="1" applyAlignment="1">
      <alignment horizontal="center" vertical="center" wrapText="1"/>
    </xf>
    <xf numFmtId="41" fontId="53" fillId="39" borderId="50" xfId="1" applyNumberFormat="1" applyFont="1" applyFill="1" applyBorder="1" applyAlignment="1">
      <alignment horizontal="center" vertical="center"/>
    </xf>
    <xf numFmtId="41" fontId="52" fillId="39" borderId="31" xfId="1" applyNumberFormat="1" applyFont="1" applyFill="1" applyBorder="1" applyAlignment="1">
      <alignment horizontal="center" vertical="center"/>
    </xf>
    <xf numFmtId="41" fontId="52" fillId="39" borderId="69" xfId="1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right" vertical="center"/>
    </xf>
    <xf numFmtId="41" fontId="52" fillId="39" borderId="20" xfId="1" applyNumberFormat="1" applyFont="1" applyFill="1" applyBorder="1" applyAlignment="1">
      <alignment horizontal="center" vertical="center"/>
    </xf>
    <xf numFmtId="41" fontId="52" fillId="39" borderId="29" xfId="1" applyNumberFormat="1" applyFont="1" applyFill="1" applyBorder="1" applyAlignment="1">
      <alignment horizontal="center" vertical="center"/>
    </xf>
    <xf numFmtId="41" fontId="52" fillId="39" borderId="50" xfId="1" applyNumberFormat="1" applyFont="1" applyFill="1" applyBorder="1" applyAlignment="1">
      <alignment horizontal="center" vertical="center"/>
    </xf>
    <xf numFmtId="0" fontId="38" fillId="0" borderId="0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/>
    </xf>
    <xf numFmtId="0" fontId="57" fillId="33" borderId="19" xfId="0" applyFont="1" applyFill="1" applyBorder="1" applyAlignment="1">
      <alignment horizontal="center" vertical="center" wrapText="1"/>
    </xf>
    <xf numFmtId="0" fontId="4" fillId="33" borderId="15" xfId="0" applyFont="1" applyFill="1" applyBorder="1" applyAlignment="1">
      <alignment horizontal="center" vertical="center"/>
    </xf>
    <xf numFmtId="0" fontId="4" fillId="33" borderId="17" xfId="0" applyFont="1" applyFill="1" applyBorder="1" applyAlignment="1">
      <alignment horizontal="center" vertical="center"/>
    </xf>
    <xf numFmtId="0" fontId="57" fillId="33" borderId="36" xfId="0" applyFont="1" applyFill="1" applyBorder="1" applyAlignment="1">
      <alignment horizontal="center" vertical="center" wrapText="1"/>
    </xf>
    <xf numFmtId="0" fontId="4" fillId="33" borderId="19" xfId="0" applyFont="1" applyFill="1" applyBorder="1" applyAlignment="1">
      <alignment horizontal="center" vertical="center" wrapText="1"/>
    </xf>
    <xf numFmtId="0" fontId="4" fillId="33" borderId="36" xfId="0" applyFont="1" applyFill="1" applyBorder="1" applyAlignment="1">
      <alignment horizontal="center" vertical="center"/>
    </xf>
    <xf numFmtId="0" fontId="4" fillId="61" borderId="15" xfId="0" applyFont="1" applyFill="1" applyBorder="1" applyAlignment="1">
      <alignment horizontal="center" vertical="center"/>
    </xf>
    <xf numFmtId="0" fontId="4" fillId="61" borderId="17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44" borderId="19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4" fillId="61" borderId="19" xfId="0" applyFont="1" applyFill="1" applyBorder="1" applyAlignment="1">
      <alignment horizontal="center" vertical="center"/>
    </xf>
    <xf numFmtId="0" fontId="4" fillId="61" borderId="54" xfId="0" applyFont="1" applyFill="1" applyBorder="1" applyAlignment="1">
      <alignment horizontal="center" vertical="center"/>
    </xf>
    <xf numFmtId="0" fontId="4" fillId="60" borderId="15" xfId="0" applyFont="1" applyFill="1" applyBorder="1" applyAlignment="1">
      <alignment horizontal="center" vertical="center"/>
    </xf>
    <xf numFmtId="0" fontId="4" fillId="60" borderId="17" xfId="0" applyFont="1" applyFill="1" applyBorder="1" applyAlignment="1">
      <alignment horizontal="center" vertical="center"/>
    </xf>
    <xf numFmtId="0" fontId="4" fillId="58" borderId="19" xfId="0" applyFont="1" applyFill="1" applyBorder="1" applyAlignment="1">
      <alignment horizontal="center" vertical="center"/>
    </xf>
    <xf numFmtId="0" fontId="4" fillId="58" borderId="54" xfId="0" applyFont="1" applyFill="1" applyBorder="1" applyAlignment="1">
      <alignment horizontal="center" vertical="center"/>
    </xf>
    <xf numFmtId="0" fontId="4" fillId="60" borderId="21" xfId="0" applyFont="1" applyFill="1" applyBorder="1" applyAlignment="1">
      <alignment horizontal="center" vertical="center"/>
    </xf>
    <xf numFmtId="0" fontId="4" fillId="60" borderId="22" xfId="0" applyFont="1" applyFill="1" applyBorder="1" applyAlignment="1">
      <alignment horizontal="center" vertical="center"/>
    </xf>
    <xf numFmtId="0" fontId="4" fillId="60" borderId="23" xfId="0" applyFont="1" applyFill="1" applyBorder="1" applyAlignment="1">
      <alignment horizontal="center" vertical="center"/>
    </xf>
    <xf numFmtId="0" fontId="0" fillId="37" borderId="73" xfId="0" applyFill="1" applyBorder="1" applyAlignment="1">
      <alignment horizontal="right" vertical="center"/>
    </xf>
    <xf numFmtId="0" fontId="4" fillId="59" borderId="15" xfId="0" applyFont="1" applyFill="1" applyBorder="1" applyAlignment="1">
      <alignment horizontal="center" vertical="center"/>
    </xf>
    <xf numFmtId="0" fontId="4" fillId="59" borderId="17" xfId="0" applyFont="1" applyFill="1" applyBorder="1" applyAlignment="1">
      <alignment horizontal="center" vertical="center"/>
    </xf>
    <xf numFmtId="41" fontId="4" fillId="47" borderId="19" xfId="1" applyFont="1" applyFill="1" applyBorder="1" applyAlignment="1">
      <alignment horizontal="center" vertical="center" wrapText="1"/>
    </xf>
    <xf numFmtId="41" fontId="4" fillId="47" borderId="36" xfId="1" applyFont="1" applyFill="1" applyBorder="1" applyAlignment="1">
      <alignment horizontal="center" vertical="center" wrapText="1"/>
    </xf>
    <xf numFmtId="0" fontId="4" fillId="58" borderId="15" xfId="0" applyFont="1" applyFill="1" applyBorder="1" applyAlignment="1">
      <alignment horizontal="center" vertical="center"/>
    </xf>
    <xf numFmtId="0" fontId="4" fillId="58" borderId="17" xfId="0" applyFont="1" applyFill="1" applyBorder="1" applyAlignment="1">
      <alignment horizontal="center" vertical="center"/>
    </xf>
    <xf numFmtId="0" fontId="4" fillId="59" borderId="19" xfId="0" applyFont="1" applyFill="1" applyBorder="1" applyAlignment="1">
      <alignment horizontal="center" vertical="center"/>
    </xf>
    <xf numFmtId="0" fontId="4" fillId="59" borderId="54" xfId="0" applyFont="1" applyFill="1" applyBorder="1" applyAlignment="1">
      <alignment horizontal="center" vertical="center"/>
    </xf>
    <xf numFmtId="0" fontId="25" fillId="47" borderId="29" xfId="0" applyFont="1" applyFill="1" applyBorder="1" applyAlignment="1">
      <alignment horizontal="center" vertical="center" wrapText="1"/>
    </xf>
    <xf numFmtId="0" fontId="25" fillId="47" borderId="38" xfId="0" applyFont="1" applyFill="1" applyBorder="1" applyAlignment="1">
      <alignment horizontal="center" vertical="center"/>
    </xf>
    <xf numFmtId="0" fontId="25" fillId="47" borderId="15" xfId="0" applyFont="1" applyFill="1" applyBorder="1" applyAlignment="1">
      <alignment horizontal="center" vertical="center"/>
    </xf>
    <xf numFmtId="0" fontId="25" fillId="47" borderId="17" xfId="0" applyFont="1" applyFill="1" applyBorder="1" applyAlignment="1">
      <alignment horizontal="center" vertical="center"/>
    </xf>
  </cellXfs>
  <cellStyles count="3187">
    <cellStyle name="20% - 강조색1 10" xfId="3"/>
    <cellStyle name="20% - 강조색1 10 2" xfId="4"/>
    <cellStyle name="20% - 강조색1 10 3" xfId="5"/>
    <cellStyle name="20% - 강조색1 10_Sheet1" xfId="6"/>
    <cellStyle name="20% - 강조색1 100" xfId="7"/>
    <cellStyle name="20% - 강조색1 101" xfId="8"/>
    <cellStyle name="20% - 강조색1 102" xfId="9"/>
    <cellStyle name="20% - 강조색1 103" xfId="10"/>
    <cellStyle name="20% - 강조색1 104" xfId="11"/>
    <cellStyle name="20% - 강조색1 105" xfId="12"/>
    <cellStyle name="20% - 강조색1 106" xfId="13"/>
    <cellStyle name="20% - 강조색1 107" xfId="14"/>
    <cellStyle name="20% - 강조색1 108" xfId="15"/>
    <cellStyle name="20% - 강조색1 109" xfId="16"/>
    <cellStyle name="20% - 강조색1 11" xfId="17"/>
    <cellStyle name="20% - 강조색1 11 2" xfId="18"/>
    <cellStyle name="20% - 강조색1 11 3" xfId="19"/>
    <cellStyle name="20% - 강조색1 11_Sheet1" xfId="20"/>
    <cellStyle name="20% - 강조색1 110" xfId="21"/>
    <cellStyle name="20% - 강조색1 111" xfId="22"/>
    <cellStyle name="20% - 강조색1 12" xfId="23"/>
    <cellStyle name="20% - 강조색1 12 2" xfId="24"/>
    <cellStyle name="20% - 강조색1 12 3" xfId="25"/>
    <cellStyle name="20% - 강조색1 12_Sheet1" xfId="26"/>
    <cellStyle name="20% - 강조색1 13" xfId="27"/>
    <cellStyle name="20% - 강조색1 13 2" xfId="28"/>
    <cellStyle name="20% - 강조색1 13 3" xfId="29"/>
    <cellStyle name="20% - 강조색1 13_Sheet1" xfId="30"/>
    <cellStyle name="20% - 강조색1 14" xfId="31"/>
    <cellStyle name="20% - 강조색1 14 2" xfId="32"/>
    <cellStyle name="20% - 강조색1 14 3" xfId="33"/>
    <cellStyle name="20% - 강조색1 14_Sheet1" xfId="34"/>
    <cellStyle name="20% - 강조색1 15" xfId="35"/>
    <cellStyle name="20% - 강조색1 15 2" xfId="36"/>
    <cellStyle name="20% - 강조색1 15 3" xfId="37"/>
    <cellStyle name="20% - 강조색1 15_Sheet1" xfId="38"/>
    <cellStyle name="20% - 강조색1 16" xfId="39"/>
    <cellStyle name="20% - 강조색1 16 2" xfId="40"/>
    <cellStyle name="20% - 강조색1 16 3" xfId="41"/>
    <cellStyle name="20% - 강조색1 16_Sheet1" xfId="42"/>
    <cellStyle name="20% - 강조색1 17" xfId="43"/>
    <cellStyle name="20% - 강조색1 17 2" xfId="44"/>
    <cellStyle name="20% - 강조색1 17 3" xfId="45"/>
    <cellStyle name="20% - 강조색1 17_Sheet1" xfId="46"/>
    <cellStyle name="20% - 강조색1 18" xfId="47"/>
    <cellStyle name="20% - 강조색1 18 2" xfId="48"/>
    <cellStyle name="20% - 강조색1 18 3" xfId="49"/>
    <cellStyle name="20% - 강조색1 18_Sheet1" xfId="50"/>
    <cellStyle name="20% - 강조색1 19" xfId="51"/>
    <cellStyle name="20% - 강조색1 19 2" xfId="52"/>
    <cellStyle name="20% - 강조색1 19 3" xfId="53"/>
    <cellStyle name="20% - 강조색1 19_Sheet1" xfId="54"/>
    <cellStyle name="20% - 강조색1 2" xfId="55"/>
    <cellStyle name="20% - 강조색1 20" xfId="56"/>
    <cellStyle name="20% - 강조색1 20 2" xfId="57"/>
    <cellStyle name="20% - 강조색1 20 3" xfId="58"/>
    <cellStyle name="20% - 강조색1 20_Sheet1" xfId="59"/>
    <cellStyle name="20% - 강조색1 21" xfId="60"/>
    <cellStyle name="20% - 강조색1 21 2" xfId="61"/>
    <cellStyle name="20% - 강조색1 21 3" xfId="62"/>
    <cellStyle name="20% - 강조색1 21_Sheet1" xfId="63"/>
    <cellStyle name="20% - 강조색1 22" xfId="64"/>
    <cellStyle name="20% - 강조색1 22 2" xfId="65"/>
    <cellStyle name="20% - 강조색1 22 3" xfId="66"/>
    <cellStyle name="20% - 강조색1 22_Sheet1" xfId="67"/>
    <cellStyle name="20% - 강조색1 23" xfId="68"/>
    <cellStyle name="20% - 강조색1 23 2" xfId="69"/>
    <cellStyle name="20% - 강조색1 23 3" xfId="70"/>
    <cellStyle name="20% - 강조색1 23_Sheet1" xfId="71"/>
    <cellStyle name="20% - 강조색1 24" xfId="72"/>
    <cellStyle name="20% - 강조색1 24 2" xfId="73"/>
    <cellStyle name="20% - 강조색1 24 3" xfId="74"/>
    <cellStyle name="20% - 강조색1 24_Sheet1" xfId="75"/>
    <cellStyle name="20% - 강조색1 25" xfId="76"/>
    <cellStyle name="20% - 강조색1 25 2" xfId="77"/>
    <cellStyle name="20% - 강조색1 25 3" xfId="78"/>
    <cellStyle name="20% - 강조색1 25_Sheet1" xfId="79"/>
    <cellStyle name="20% - 강조색1 26" xfId="80"/>
    <cellStyle name="20% - 강조색1 26 2" xfId="81"/>
    <cellStyle name="20% - 강조색1 26 3" xfId="82"/>
    <cellStyle name="20% - 강조색1 26_Sheet1" xfId="83"/>
    <cellStyle name="20% - 강조색1 27" xfId="84"/>
    <cellStyle name="20% - 강조색1 27 2" xfId="85"/>
    <cellStyle name="20% - 강조색1 27 3" xfId="86"/>
    <cellStyle name="20% - 강조색1 27_Sheet1" xfId="87"/>
    <cellStyle name="20% - 강조색1 28" xfId="88"/>
    <cellStyle name="20% - 강조색1 28 2" xfId="89"/>
    <cellStyle name="20% - 강조색1 28 3" xfId="90"/>
    <cellStyle name="20% - 강조색1 28_Sheet1" xfId="91"/>
    <cellStyle name="20% - 강조색1 29" xfId="92"/>
    <cellStyle name="20% - 강조색1 29 2" xfId="93"/>
    <cellStyle name="20% - 강조색1 29 3" xfId="94"/>
    <cellStyle name="20% - 강조색1 29_Sheet1" xfId="95"/>
    <cellStyle name="20% - 강조색1 3" xfId="96"/>
    <cellStyle name="20% - 강조색1 30" xfId="97"/>
    <cellStyle name="20% - 강조색1 30 2" xfId="98"/>
    <cellStyle name="20% - 강조색1 30 3" xfId="99"/>
    <cellStyle name="20% - 강조색1 30_Sheet1" xfId="100"/>
    <cellStyle name="20% - 강조색1 31" xfId="101"/>
    <cellStyle name="20% - 강조색1 31 2" xfId="102"/>
    <cellStyle name="20% - 강조색1 31 3" xfId="103"/>
    <cellStyle name="20% - 강조색1 31_Sheet1" xfId="104"/>
    <cellStyle name="20% - 강조색1 32" xfId="105"/>
    <cellStyle name="20% - 강조색1 32 2" xfId="106"/>
    <cellStyle name="20% - 강조색1 32 3" xfId="107"/>
    <cellStyle name="20% - 강조색1 32_Sheet1" xfId="108"/>
    <cellStyle name="20% - 강조색1 33" xfId="109"/>
    <cellStyle name="20% - 강조색1 33 2" xfId="110"/>
    <cellStyle name="20% - 강조색1 33 3" xfId="111"/>
    <cellStyle name="20% - 강조색1 33_Sheet1" xfId="112"/>
    <cellStyle name="20% - 강조색1 34" xfId="113"/>
    <cellStyle name="20% - 강조색1 34 2" xfId="114"/>
    <cellStyle name="20% - 강조색1 34 3" xfId="115"/>
    <cellStyle name="20% - 강조색1 34_Sheet1" xfId="116"/>
    <cellStyle name="20% - 강조색1 35" xfId="117"/>
    <cellStyle name="20% - 강조색1 35 2" xfId="118"/>
    <cellStyle name="20% - 강조색1 35 3" xfId="119"/>
    <cellStyle name="20% - 강조색1 35_Sheet1" xfId="120"/>
    <cellStyle name="20% - 강조색1 36" xfId="121"/>
    <cellStyle name="20% - 강조색1 36 2" xfId="122"/>
    <cellStyle name="20% - 강조색1 36 3" xfId="123"/>
    <cellStyle name="20% - 강조색1 36_Sheet1" xfId="124"/>
    <cellStyle name="20% - 강조색1 37" xfId="125"/>
    <cellStyle name="20% - 강조색1 37 2" xfId="126"/>
    <cellStyle name="20% - 강조색1 37 3" xfId="127"/>
    <cellStyle name="20% - 강조색1 37_Sheet1" xfId="128"/>
    <cellStyle name="20% - 강조색1 38" xfId="129"/>
    <cellStyle name="20% - 강조색1 38 2" xfId="130"/>
    <cellStyle name="20% - 강조색1 38 3" xfId="131"/>
    <cellStyle name="20% - 강조색1 38_Sheet1" xfId="132"/>
    <cellStyle name="20% - 강조색1 39" xfId="133"/>
    <cellStyle name="20% - 강조색1 39 2" xfId="134"/>
    <cellStyle name="20% - 강조색1 39 3" xfId="135"/>
    <cellStyle name="20% - 강조색1 39_Sheet1" xfId="136"/>
    <cellStyle name="20% - 강조색1 4" xfId="137"/>
    <cellStyle name="20% - 강조색1 40" xfId="138"/>
    <cellStyle name="20% - 강조색1 40 2" xfId="139"/>
    <cellStyle name="20% - 강조색1 40 3" xfId="140"/>
    <cellStyle name="20% - 강조색1 40_Sheet1" xfId="141"/>
    <cellStyle name="20% - 강조색1 41" xfId="142"/>
    <cellStyle name="20% - 강조색1 41 2" xfId="143"/>
    <cellStyle name="20% - 강조색1 41 3" xfId="144"/>
    <cellStyle name="20% - 강조색1 41_Sheet1" xfId="145"/>
    <cellStyle name="20% - 강조색1 42" xfId="146"/>
    <cellStyle name="20% - 강조색1 42 2" xfId="147"/>
    <cellStyle name="20% - 강조색1 42 3" xfId="148"/>
    <cellStyle name="20% - 강조색1 42_Sheet1" xfId="149"/>
    <cellStyle name="20% - 강조색1 43" xfId="150"/>
    <cellStyle name="20% - 강조색1 43 2" xfId="151"/>
    <cellStyle name="20% - 강조색1 43 3" xfId="152"/>
    <cellStyle name="20% - 강조색1 43_Sheet1" xfId="153"/>
    <cellStyle name="20% - 강조색1 44" xfId="154"/>
    <cellStyle name="20% - 강조색1 44 2" xfId="155"/>
    <cellStyle name="20% - 강조색1 44 3" xfId="156"/>
    <cellStyle name="20% - 강조색1 44_Sheet1" xfId="157"/>
    <cellStyle name="20% - 강조색1 45" xfId="158"/>
    <cellStyle name="20% - 강조색1 45 2" xfId="159"/>
    <cellStyle name="20% - 강조색1 45 3" xfId="160"/>
    <cellStyle name="20% - 강조색1 45_Sheet1" xfId="161"/>
    <cellStyle name="20% - 강조색1 46" xfId="162"/>
    <cellStyle name="20% - 강조색1 47" xfId="163"/>
    <cellStyle name="20% - 강조색1 48" xfId="164"/>
    <cellStyle name="20% - 강조색1 49" xfId="165"/>
    <cellStyle name="20% - 강조색1 5" xfId="166"/>
    <cellStyle name="20% - 강조색1 5 2" xfId="167"/>
    <cellStyle name="20% - 강조색1 5 3" xfId="168"/>
    <cellStyle name="20% - 강조색1 5_Sheet1" xfId="169"/>
    <cellStyle name="20% - 강조색1 50" xfId="170"/>
    <cellStyle name="20% - 강조색1 51" xfId="171"/>
    <cellStyle name="20% - 강조색1 52" xfId="172"/>
    <cellStyle name="20% - 강조색1 53" xfId="173"/>
    <cellStyle name="20% - 강조색1 54" xfId="174"/>
    <cellStyle name="20% - 강조색1 55" xfId="175"/>
    <cellStyle name="20% - 강조색1 56" xfId="176"/>
    <cellStyle name="20% - 강조색1 57" xfId="177"/>
    <cellStyle name="20% - 강조색1 58" xfId="178"/>
    <cellStyle name="20% - 강조색1 59" xfId="179"/>
    <cellStyle name="20% - 강조색1 6" xfId="180"/>
    <cellStyle name="20% - 강조색1 6 2" xfId="181"/>
    <cellStyle name="20% - 강조색1 6 3" xfId="182"/>
    <cellStyle name="20% - 강조색1 6_Sheet1" xfId="183"/>
    <cellStyle name="20% - 강조색1 60" xfId="184"/>
    <cellStyle name="20% - 강조색1 61" xfId="185"/>
    <cellStyle name="20% - 강조색1 62" xfId="186"/>
    <cellStyle name="20% - 강조색1 63" xfId="187"/>
    <cellStyle name="20% - 강조색1 64" xfId="188"/>
    <cellStyle name="20% - 강조색1 65" xfId="189"/>
    <cellStyle name="20% - 강조색1 66" xfId="190"/>
    <cellStyle name="20% - 강조색1 67" xfId="191"/>
    <cellStyle name="20% - 강조색1 68" xfId="192"/>
    <cellStyle name="20% - 강조색1 69" xfId="193"/>
    <cellStyle name="20% - 강조색1 7" xfId="194"/>
    <cellStyle name="20% - 강조색1 7 2" xfId="195"/>
    <cellStyle name="20% - 강조색1 7 3" xfId="196"/>
    <cellStyle name="20% - 강조색1 7_Sheet1" xfId="197"/>
    <cellStyle name="20% - 강조색1 70" xfId="198"/>
    <cellStyle name="20% - 강조색1 71" xfId="199"/>
    <cellStyle name="20% - 강조색1 72" xfId="200"/>
    <cellStyle name="20% - 강조색1 73" xfId="201"/>
    <cellStyle name="20% - 강조색1 74" xfId="202"/>
    <cellStyle name="20% - 강조색1 75" xfId="203"/>
    <cellStyle name="20% - 강조색1 76" xfId="204"/>
    <cellStyle name="20% - 강조색1 77" xfId="205"/>
    <cellStyle name="20% - 강조색1 78" xfId="206"/>
    <cellStyle name="20% - 강조색1 79" xfId="207"/>
    <cellStyle name="20% - 강조색1 8" xfId="208"/>
    <cellStyle name="20% - 강조색1 8 2" xfId="209"/>
    <cellStyle name="20% - 강조색1 8 3" xfId="210"/>
    <cellStyle name="20% - 강조색1 8_Sheet1" xfId="211"/>
    <cellStyle name="20% - 강조색1 80" xfId="212"/>
    <cellStyle name="20% - 강조색1 81" xfId="213"/>
    <cellStyle name="20% - 강조색1 82" xfId="214"/>
    <cellStyle name="20% - 강조색1 83" xfId="215"/>
    <cellStyle name="20% - 강조색1 84" xfId="216"/>
    <cellStyle name="20% - 강조색1 85" xfId="217"/>
    <cellStyle name="20% - 강조색1 86" xfId="218"/>
    <cellStyle name="20% - 강조색1 87" xfId="219"/>
    <cellStyle name="20% - 강조색1 88" xfId="220"/>
    <cellStyle name="20% - 강조색1 89" xfId="221"/>
    <cellStyle name="20% - 강조색1 9" xfId="222"/>
    <cellStyle name="20% - 강조색1 9 2" xfId="223"/>
    <cellStyle name="20% - 강조색1 9 3" xfId="224"/>
    <cellStyle name="20% - 강조색1 9_Sheet1" xfId="225"/>
    <cellStyle name="20% - 강조색1 90" xfId="226"/>
    <cellStyle name="20% - 강조색1 91" xfId="227"/>
    <cellStyle name="20% - 강조색1 92" xfId="228"/>
    <cellStyle name="20% - 강조색1 93" xfId="229"/>
    <cellStyle name="20% - 강조색1 94" xfId="230"/>
    <cellStyle name="20% - 강조색1 95" xfId="231"/>
    <cellStyle name="20% - 강조색1 96" xfId="232"/>
    <cellStyle name="20% - 강조색1 97" xfId="233"/>
    <cellStyle name="20% - 강조색1 98" xfId="234"/>
    <cellStyle name="20% - 강조색1 99" xfId="235"/>
    <cellStyle name="20% - 강조색2 10" xfId="236"/>
    <cellStyle name="20% - 강조색2 10 2" xfId="237"/>
    <cellStyle name="20% - 강조색2 10 3" xfId="238"/>
    <cellStyle name="20% - 강조색2 10_Sheet1" xfId="239"/>
    <cellStyle name="20% - 강조색2 100" xfId="240"/>
    <cellStyle name="20% - 강조색2 101" xfId="241"/>
    <cellStyle name="20% - 강조색2 102" xfId="242"/>
    <cellStyle name="20% - 강조색2 103" xfId="243"/>
    <cellStyle name="20% - 강조색2 104" xfId="244"/>
    <cellStyle name="20% - 강조색2 105" xfId="245"/>
    <cellStyle name="20% - 강조색2 106" xfId="246"/>
    <cellStyle name="20% - 강조색2 107" xfId="247"/>
    <cellStyle name="20% - 강조색2 108" xfId="248"/>
    <cellStyle name="20% - 강조색2 109" xfId="249"/>
    <cellStyle name="20% - 강조색2 11" xfId="250"/>
    <cellStyle name="20% - 강조색2 11 2" xfId="251"/>
    <cellStyle name="20% - 강조색2 11 3" xfId="252"/>
    <cellStyle name="20% - 강조색2 11_Sheet1" xfId="253"/>
    <cellStyle name="20% - 강조색2 110" xfId="254"/>
    <cellStyle name="20% - 강조색2 111" xfId="255"/>
    <cellStyle name="20% - 강조색2 12" xfId="256"/>
    <cellStyle name="20% - 강조색2 12 2" xfId="257"/>
    <cellStyle name="20% - 강조색2 12 3" xfId="258"/>
    <cellStyle name="20% - 강조색2 12_Sheet1" xfId="259"/>
    <cellStyle name="20% - 강조색2 13" xfId="260"/>
    <cellStyle name="20% - 강조색2 13 2" xfId="261"/>
    <cellStyle name="20% - 강조색2 13 3" xfId="262"/>
    <cellStyle name="20% - 강조색2 13_Sheet1" xfId="263"/>
    <cellStyle name="20% - 강조색2 14" xfId="264"/>
    <cellStyle name="20% - 강조색2 14 2" xfId="265"/>
    <cellStyle name="20% - 강조색2 14 3" xfId="266"/>
    <cellStyle name="20% - 강조색2 14_Sheet1" xfId="267"/>
    <cellStyle name="20% - 강조색2 15" xfId="268"/>
    <cellStyle name="20% - 강조색2 15 2" xfId="269"/>
    <cellStyle name="20% - 강조색2 15 3" xfId="270"/>
    <cellStyle name="20% - 강조색2 15_Sheet1" xfId="271"/>
    <cellStyle name="20% - 강조색2 16" xfId="272"/>
    <cellStyle name="20% - 강조색2 16 2" xfId="273"/>
    <cellStyle name="20% - 강조색2 16 3" xfId="274"/>
    <cellStyle name="20% - 강조색2 16_Sheet1" xfId="275"/>
    <cellStyle name="20% - 강조색2 17" xfId="276"/>
    <cellStyle name="20% - 강조색2 17 2" xfId="277"/>
    <cellStyle name="20% - 강조색2 17 3" xfId="278"/>
    <cellStyle name="20% - 강조색2 17_Sheet1" xfId="279"/>
    <cellStyle name="20% - 강조색2 18" xfId="280"/>
    <cellStyle name="20% - 강조색2 18 2" xfId="281"/>
    <cellStyle name="20% - 강조색2 18 3" xfId="282"/>
    <cellStyle name="20% - 강조색2 18_Sheet1" xfId="283"/>
    <cellStyle name="20% - 강조색2 19" xfId="284"/>
    <cellStyle name="20% - 강조색2 19 2" xfId="285"/>
    <cellStyle name="20% - 강조색2 19 3" xfId="286"/>
    <cellStyle name="20% - 강조색2 19_Sheet1" xfId="287"/>
    <cellStyle name="20% - 강조색2 2" xfId="288"/>
    <cellStyle name="20% - 강조색2 20" xfId="289"/>
    <cellStyle name="20% - 강조색2 20 2" xfId="290"/>
    <cellStyle name="20% - 강조색2 20 3" xfId="291"/>
    <cellStyle name="20% - 강조색2 20_Sheet1" xfId="292"/>
    <cellStyle name="20% - 강조색2 21" xfId="293"/>
    <cellStyle name="20% - 강조색2 21 2" xfId="294"/>
    <cellStyle name="20% - 강조색2 21 3" xfId="295"/>
    <cellStyle name="20% - 강조색2 21_Sheet1" xfId="296"/>
    <cellStyle name="20% - 강조색2 22" xfId="297"/>
    <cellStyle name="20% - 강조색2 22 2" xfId="298"/>
    <cellStyle name="20% - 강조색2 22 3" xfId="299"/>
    <cellStyle name="20% - 강조색2 22_Sheet1" xfId="300"/>
    <cellStyle name="20% - 강조색2 23" xfId="301"/>
    <cellStyle name="20% - 강조색2 23 2" xfId="302"/>
    <cellStyle name="20% - 강조색2 23 3" xfId="303"/>
    <cellStyle name="20% - 강조색2 23_Sheet1" xfId="304"/>
    <cellStyle name="20% - 강조색2 24" xfId="305"/>
    <cellStyle name="20% - 강조색2 24 2" xfId="306"/>
    <cellStyle name="20% - 강조색2 24 3" xfId="307"/>
    <cellStyle name="20% - 강조색2 24_Sheet1" xfId="308"/>
    <cellStyle name="20% - 강조색2 25" xfId="309"/>
    <cellStyle name="20% - 강조색2 25 2" xfId="310"/>
    <cellStyle name="20% - 강조색2 25 3" xfId="311"/>
    <cellStyle name="20% - 강조색2 25_Sheet1" xfId="312"/>
    <cellStyle name="20% - 강조색2 26" xfId="313"/>
    <cellStyle name="20% - 강조색2 26 2" xfId="314"/>
    <cellStyle name="20% - 강조색2 26 3" xfId="315"/>
    <cellStyle name="20% - 강조색2 26_Sheet1" xfId="316"/>
    <cellStyle name="20% - 강조색2 27" xfId="317"/>
    <cellStyle name="20% - 강조색2 27 2" xfId="318"/>
    <cellStyle name="20% - 강조색2 27 3" xfId="319"/>
    <cellStyle name="20% - 강조색2 27_Sheet1" xfId="320"/>
    <cellStyle name="20% - 강조색2 28" xfId="321"/>
    <cellStyle name="20% - 강조색2 28 2" xfId="322"/>
    <cellStyle name="20% - 강조색2 28 3" xfId="323"/>
    <cellStyle name="20% - 강조색2 28_Sheet1" xfId="324"/>
    <cellStyle name="20% - 강조색2 29" xfId="325"/>
    <cellStyle name="20% - 강조색2 29 2" xfId="326"/>
    <cellStyle name="20% - 강조색2 29 3" xfId="327"/>
    <cellStyle name="20% - 강조색2 29_Sheet1" xfId="328"/>
    <cellStyle name="20% - 강조색2 3" xfId="329"/>
    <cellStyle name="20% - 강조색2 30" xfId="330"/>
    <cellStyle name="20% - 강조색2 30 2" xfId="331"/>
    <cellStyle name="20% - 강조색2 30 3" xfId="332"/>
    <cellStyle name="20% - 강조색2 30_Sheet1" xfId="333"/>
    <cellStyle name="20% - 강조색2 31" xfId="334"/>
    <cellStyle name="20% - 강조색2 31 2" xfId="335"/>
    <cellStyle name="20% - 강조색2 31 3" xfId="336"/>
    <cellStyle name="20% - 강조색2 31_Sheet1" xfId="337"/>
    <cellStyle name="20% - 강조색2 32" xfId="338"/>
    <cellStyle name="20% - 강조색2 32 2" xfId="339"/>
    <cellStyle name="20% - 강조색2 32 3" xfId="340"/>
    <cellStyle name="20% - 강조색2 32_Sheet1" xfId="341"/>
    <cellStyle name="20% - 강조색2 33" xfId="342"/>
    <cellStyle name="20% - 강조색2 33 2" xfId="343"/>
    <cellStyle name="20% - 강조색2 33 3" xfId="344"/>
    <cellStyle name="20% - 강조색2 33_Sheet1" xfId="345"/>
    <cellStyle name="20% - 강조색2 34" xfId="346"/>
    <cellStyle name="20% - 강조색2 34 2" xfId="347"/>
    <cellStyle name="20% - 강조색2 34 3" xfId="348"/>
    <cellStyle name="20% - 강조색2 34_Sheet1" xfId="349"/>
    <cellStyle name="20% - 강조색2 35" xfId="350"/>
    <cellStyle name="20% - 강조색2 35 2" xfId="351"/>
    <cellStyle name="20% - 강조색2 35 3" xfId="352"/>
    <cellStyle name="20% - 강조색2 35_Sheet1" xfId="353"/>
    <cellStyle name="20% - 강조색2 36" xfId="354"/>
    <cellStyle name="20% - 강조색2 36 2" xfId="355"/>
    <cellStyle name="20% - 강조색2 36 3" xfId="356"/>
    <cellStyle name="20% - 강조색2 36_Sheet1" xfId="357"/>
    <cellStyle name="20% - 강조색2 37" xfId="358"/>
    <cellStyle name="20% - 강조색2 37 2" xfId="359"/>
    <cellStyle name="20% - 강조색2 37 3" xfId="360"/>
    <cellStyle name="20% - 강조색2 37_Sheet1" xfId="361"/>
    <cellStyle name="20% - 강조색2 38" xfId="362"/>
    <cellStyle name="20% - 강조색2 38 2" xfId="363"/>
    <cellStyle name="20% - 강조색2 38 3" xfId="364"/>
    <cellStyle name="20% - 강조색2 38_Sheet1" xfId="365"/>
    <cellStyle name="20% - 강조색2 39" xfId="366"/>
    <cellStyle name="20% - 강조색2 39 2" xfId="367"/>
    <cellStyle name="20% - 강조색2 39 3" xfId="368"/>
    <cellStyle name="20% - 강조색2 39_Sheet1" xfId="369"/>
    <cellStyle name="20% - 강조색2 4" xfId="370"/>
    <cellStyle name="20% - 강조색2 40" xfId="371"/>
    <cellStyle name="20% - 강조색2 40 2" xfId="372"/>
    <cellStyle name="20% - 강조색2 40 3" xfId="373"/>
    <cellStyle name="20% - 강조색2 40_Sheet1" xfId="374"/>
    <cellStyle name="20% - 강조색2 41" xfId="375"/>
    <cellStyle name="20% - 강조색2 41 2" xfId="376"/>
    <cellStyle name="20% - 강조색2 41 3" xfId="377"/>
    <cellStyle name="20% - 강조색2 41_Sheet1" xfId="378"/>
    <cellStyle name="20% - 강조색2 42" xfId="379"/>
    <cellStyle name="20% - 강조색2 42 2" xfId="380"/>
    <cellStyle name="20% - 강조색2 42 3" xfId="381"/>
    <cellStyle name="20% - 강조색2 42_Sheet1" xfId="382"/>
    <cellStyle name="20% - 강조색2 43" xfId="383"/>
    <cellStyle name="20% - 강조색2 43 2" xfId="384"/>
    <cellStyle name="20% - 강조색2 43 3" xfId="385"/>
    <cellStyle name="20% - 강조색2 43_Sheet1" xfId="386"/>
    <cellStyle name="20% - 강조색2 44" xfId="387"/>
    <cellStyle name="20% - 강조색2 44 2" xfId="388"/>
    <cellStyle name="20% - 강조색2 44 3" xfId="389"/>
    <cellStyle name="20% - 강조색2 44_Sheet1" xfId="390"/>
    <cellStyle name="20% - 강조색2 45" xfId="391"/>
    <cellStyle name="20% - 강조색2 45 2" xfId="392"/>
    <cellStyle name="20% - 강조색2 45 3" xfId="393"/>
    <cellStyle name="20% - 강조색2 45_Sheet1" xfId="394"/>
    <cellStyle name="20% - 강조색2 46" xfId="395"/>
    <cellStyle name="20% - 강조색2 47" xfId="396"/>
    <cellStyle name="20% - 강조색2 48" xfId="397"/>
    <cellStyle name="20% - 강조색2 49" xfId="398"/>
    <cellStyle name="20% - 강조색2 5" xfId="399"/>
    <cellStyle name="20% - 강조색2 5 2" xfId="400"/>
    <cellStyle name="20% - 강조색2 5 3" xfId="401"/>
    <cellStyle name="20% - 강조색2 5_Sheet1" xfId="402"/>
    <cellStyle name="20% - 강조색2 50" xfId="403"/>
    <cellStyle name="20% - 강조색2 51" xfId="404"/>
    <cellStyle name="20% - 강조색2 52" xfId="405"/>
    <cellStyle name="20% - 강조색2 53" xfId="406"/>
    <cellStyle name="20% - 강조색2 54" xfId="407"/>
    <cellStyle name="20% - 강조색2 55" xfId="408"/>
    <cellStyle name="20% - 강조색2 56" xfId="409"/>
    <cellStyle name="20% - 강조색2 57" xfId="410"/>
    <cellStyle name="20% - 강조색2 58" xfId="411"/>
    <cellStyle name="20% - 강조색2 59" xfId="412"/>
    <cellStyle name="20% - 강조색2 6" xfId="413"/>
    <cellStyle name="20% - 강조색2 6 2" xfId="414"/>
    <cellStyle name="20% - 강조색2 6 3" xfId="415"/>
    <cellStyle name="20% - 강조색2 6_Sheet1" xfId="416"/>
    <cellStyle name="20% - 강조색2 60" xfId="417"/>
    <cellStyle name="20% - 강조색2 61" xfId="418"/>
    <cellStyle name="20% - 강조색2 62" xfId="419"/>
    <cellStyle name="20% - 강조색2 63" xfId="420"/>
    <cellStyle name="20% - 강조색2 64" xfId="421"/>
    <cellStyle name="20% - 강조색2 65" xfId="422"/>
    <cellStyle name="20% - 강조색2 66" xfId="423"/>
    <cellStyle name="20% - 강조색2 67" xfId="424"/>
    <cellStyle name="20% - 강조색2 68" xfId="425"/>
    <cellStyle name="20% - 강조색2 69" xfId="426"/>
    <cellStyle name="20% - 강조색2 7" xfId="427"/>
    <cellStyle name="20% - 강조색2 7 2" xfId="428"/>
    <cellStyle name="20% - 강조색2 7 3" xfId="429"/>
    <cellStyle name="20% - 강조색2 7_Sheet1" xfId="430"/>
    <cellStyle name="20% - 강조색2 70" xfId="431"/>
    <cellStyle name="20% - 강조색2 71" xfId="432"/>
    <cellStyle name="20% - 강조색2 72" xfId="433"/>
    <cellStyle name="20% - 강조색2 73" xfId="434"/>
    <cellStyle name="20% - 강조색2 74" xfId="435"/>
    <cellStyle name="20% - 강조색2 75" xfId="436"/>
    <cellStyle name="20% - 강조색2 76" xfId="437"/>
    <cellStyle name="20% - 강조색2 77" xfId="438"/>
    <cellStyle name="20% - 강조색2 78" xfId="439"/>
    <cellStyle name="20% - 강조색2 79" xfId="440"/>
    <cellStyle name="20% - 강조색2 8" xfId="441"/>
    <cellStyle name="20% - 강조색2 8 2" xfId="442"/>
    <cellStyle name="20% - 강조색2 8 3" xfId="443"/>
    <cellStyle name="20% - 강조색2 8_Sheet1" xfId="444"/>
    <cellStyle name="20% - 강조색2 80" xfId="445"/>
    <cellStyle name="20% - 강조색2 81" xfId="446"/>
    <cellStyle name="20% - 강조색2 82" xfId="447"/>
    <cellStyle name="20% - 강조색2 83" xfId="448"/>
    <cellStyle name="20% - 강조색2 84" xfId="449"/>
    <cellStyle name="20% - 강조색2 85" xfId="450"/>
    <cellStyle name="20% - 강조색2 86" xfId="451"/>
    <cellStyle name="20% - 강조색2 87" xfId="452"/>
    <cellStyle name="20% - 강조색2 88" xfId="453"/>
    <cellStyle name="20% - 강조색2 89" xfId="454"/>
    <cellStyle name="20% - 강조색2 9" xfId="455"/>
    <cellStyle name="20% - 강조색2 9 2" xfId="456"/>
    <cellStyle name="20% - 강조색2 9 3" xfId="457"/>
    <cellStyle name="20% - 강조색2 9_Sheet1" xfId="458"/>
    <cellStyle name="20% - 강조색2 90" xfId="459"/>
    <cellStyle name="20% - 강조색2 91" xfId="460"/>
    <cellStyle name="20% - 강조색2 92" xfId="461"/>
    <cellStyle name="20% - 강조색2 93" xfId="462"/>
    <cellStyle name="20% - 강조색2 94" xfId="463"/>
    <cellStyle name="20% - 강조색2 95" xfId="464"/>
    <cellStyle name="20% - 강조색2 96" xfId="465"/>
    <cellStyle name="20% - 강조색2 97" xfId="466"/>
    <cellStyle name="20% - 강조색2 98" xfId="467"/>
    <cellStyle name="20% - 강조색2 99" xfId="468"/>
    <cellStyle name="20% - 강조색3 10" xfId="469"/>
    <cellStyle name="20% - 강조색3 10 2" xfId="470"/>
    <cellStyle name="20% - 강조색3 10 3" xfId="471"/>
    <cellStyle name="20% - 강조색3 10_Sheet1" xfId="472"/>
    <cellStyle name="20% - 강조색3 100" xfId="473"/>
    <cellStyle name="20% - 강조색3 101" xfId="474"/>
    <cellStyle name="20% - 강조색3 102" xfId="475"/>
    <cellStyle name="20% - 강조색3 103" xfId="476"/>
    <cellStyle name="20% - 강조색3 104" xfId="477"/>
    <cellStyle name="20% - 강조색3 105" xfId="478"/>
    <cellStyle name="20% - 강조색3 106" xfId="479"/>
    <cellStyle name="20% - 강조색3 107" xfId="480"/>
    <cellStyle name="20% - 강조색3 108" xfId="481"/>
    <cellStyle name="20% - 강조색3 109" xfId="482"/>
    <cellStyle name="20% - 강조색3 11" xfId="483"/>
    <cellStyle name="20% - 강조색3 11 2" xfId="484"/>
    <cellStyle name="20% - 강조색3 11 3" xfId="485"/>
    <cellStyle name="20% - 강조색3 11_Sheet1" xfId="486"/>
    <cellStyle name="20% - 강조색3 110" xfId="487"/>
    <cellStyle name="20% - 강조색3 111" xfId="488"/>
    <cellStyle name="20% - 강조색3 12" xfId="489"/>
    <cellStyle name="20% - 강조색3 12 2" xfId="490"/>
    <cellStyle name="20% - 강조색3 12 3" xfId="491"/>
    <cellStyle name="20% - 강조색3 12_Sheet1" xfId="492"/>
    <cellStyle name="20% - 강조색3 13" xfId="493"/>
    <cellStyle name="20% - 강조색3 13 2" xfId="494"/>
    <cellStyle name="20% - 강조색3 13 3" xfId="495"/>
    <cellStyle name="20% - 강조색3 13_Sheet1" xfId="496"/>
    <cellStyle name="20% - 강조색3 14" xfId="497"/>
    <cellStyle name="20% - 강조색3 14 2" xfId="498"/>
    <cellStyle name="20% - 강조색3 14 3" xfId="499"/>
    <cellStyle name="20% - 강조색3 14_Sheet1" xfId="500"/>
    <cellStyle name="20% - 강조색3 15" xfId="501"/>
    <cellStyle name="20% - 강조색3 15 2" xfId="502"/>
    <cellStyle name="20% - 강조색3 15 3" xfId="503"/>
    <cellStyle name="20% - 강조색3 15_Sheet1" xfId="504"/>
    <cellStyle name="20% - 강조색3 16" xfId="505"/>
    <cellStyle name="20% - 강조색3 16 2" xfId="506"/>
    <cellStyle name="20% - 강조색3 16 3" xfId="507"/>
    <cellStyle name="20% - 강조색3 16_Sheet1" xfId="508"/>
    <cellStyle name="20% - 강조색3 17" xfId="509"/>
    <cellStyle name="20% - 강조색3 17 2" xfId="510"/>
    <cellStyle name="20% - 강조색3 17 3" xfId="511"/>
    <cellStyle name="20% - 강조색3 17_Sheet1" xfId="512"/>
    <cellStyle name="20% - 강조색3 18" xfId="513"/>
    <cellStyle name="20% - 강조색3 18 2" xfId="514"/>
    <cellStyle name="20% - 강조색3 18 3" xfId="515"/>
    <cellStyle name="20% - 강조색3 18_Sheet1" xfId="516"/>
    <cellStyle name="20% - 강조색3 19" xfId="517"/>
    <cellStyle name="20% - 강조색3 19 2" xfId="518"/>
    <cellStyle name="20% - 강조색3 19 3" xfId="519"/>
    <cellStyle name="20% - 강조색3 19_Sheet1" xfId="520"/>
    <cellStyle name="20% - 강조색3 2" xfId="521"/>
    <cellStyle name="20% - 강조색3 20" xfId="522"/>
    <cellStyle name="20% - 강조색3 20 2" xfId="523"/>
    <cellStyle name="20% - 강조색3 20 3" xfId="524"/>
    <cellStyle name="20% - 강조색3 20_Sheet1" xfId="525"/>
    <cellStyle name="20% - 강조색3 21" xfId="526"/>
    <cellStyle name="20% - 강조색3 21 2" xfId="527"/>
    <cellStyle name="20% - 강조색3 21 3" xfId="528"/>
    <cellStyle name="20% - 강조색3 21_Sheet1" xfId="529"/>
    <cellStyle name="20% - 강조색3 22" xfId="530"/>
    <cellStyle name="20% - 강조색3 22 2" xfId="531"/>
    <cellStyle name="20% - 강조색3 22 3" xfId="532"/>
    <cellStyle name="20% - 강조색3 22_Sheet1" xfId="533"/>
    <cellStyle name="20% - 강조색3 23" xfId="534"/>
    <cellStyle name="20% - 강조색3 23 2" xfId="535"/>
    <cellStyle name="20% - 강조색3 23 3" xfId="536"/>
    <cellStyle name="20% - 강조색3 23_Sheet1" xfId="537"/>
    <cellStyle name="20% - 강조색3 24" xfId="538"/>
    <cellStyle name="20% - 강조색3 24 2" xfId="539"/>
    <cellStyle name="20% - 강조색3 24 3" xfId="540"/>
    <cellStyle name="20% - 강조색3 24_Sheet1" xfId="541"/>
    <cellStyle name="20% - 강조색3 25" xfId="542"/>
    <cellStyle name="20% - 강조색3 25 2" xfId="543"/>
    <cellStyle name="20% - 강조색3 25 3" xfId="544"/>
    <cellStyle name="20% - 강조색3 25_Sheet1" xfId="545"/>
    <cellStyle name="20% - 강조색3 26" xfId="546"/>
    <cellStyle name="20% - 강조색3 26 2" xfId="547"/>
    <cellStyle name="20% - 강조색3 26 3" xfId="548"/>
    <cellStyle name="20% - 강조색3 26_Sheet1" xfId="549"/>
    <cellStyle name="20% - 강조색3 27" xfId="550"/>
    <cellStyle name="20% - 강조색3 27 2" xfId="551"/>
    <cellStyle name="20% - 강조색3 27 3" xfId="552"/>
    <cellStyle name="20% - 강조색3 27_Sheet1" xfId="553"/>
    <cellStyle name="20% - 강조색3 28" xfId="554"/>
    <cellStyle name="20% - 강조색3 28 2" xfId="555"/>
    <cellStyle name="20% - 강조색3 28 3" xfId="556"/>
    <cellStyle name="20% - 강조색3 28_Sheet1" xfId="557"/>
    <cellStyle name="20% - 강조색3 29" xfId="558"/>
    <cellStyle name="20% - 강조색3 29 2" xfId="559"/>
    <cellStyle name="20% - 강조색3 29 3" xfId="560"/>
    <cellStyle name="20% - 강조색3 29_Sheet1" xfId="561"/>
    <cellStyle name="20% - 강조색3 3" xfId="562"/>
    <cellStyle name="20% - 강조색3 30" xfId="563"/>
    <cellStyle name="20% - 강조색3 30 2" xfId="564"/>
    <cellStyle name="20% - 강조색3 30 3" xfId="565"/>
    <cellStyle name="20% - 강조색3 30_Sheet1" xfId="566"/>
    <cellStyle name="20% - 강조색3 31" xfId="567"/>
    <cellStyle name="20% - 강조색3 31 2" xfId="568"/>
    <cellStyle name="20% - 강조색3 31 3" xfId="569"/>
    <cellStyle name="20% - 강조색3 31_Sheet1" xfId="570"/>
    <cellStyle name="20% - 강조색3 32" xfId="571"/>
    <cellStyle name="20% - 강조색3 32 2" xfId="572"/>
    <cellStyle name="20% - 강조색3 32 3" xfId="573"/>
    <cellStyle name="20% - 강조색3 32_Sheet1" xfId="574"/>
    <cellStyle name="20% - 강조색3 33" xfId="575"/>
    <cellStyle name="20% - 강조색3 33 2" xfId="576"/>
    <cellStyle name="20% - 강조색3 33 3" xfId="577"/>
    <cellStyle name="20% - 강조색3 33_Sheet1" xfId="578"/>
    <cellStyle name="20% - 강조색3 34" xfId="579"/>
    <cellStyle name="20% - 강조색3 34 2" xfId="580"/>
    <cellStyle name="20% - 강조색3 34 3" xfId="581"/>
    <cellStyle name="20% - 강조색3 34_Sheet1" xfId="582"/>
    <cellStyle name="20% - 강조색3 35" xfId="583"/>
    <cellStyle name="20% - 강조색3 35 2" xfId="584"/>
    <cellStyle name="20% - 강조색3 35 3" xfId="585"/>
    <cellStyle name="20% - 강조색3 35_Sheet1" xfId="586"/>
    <cellStyle name="20% - 강조색3 36" xfId="587"/>
    <cellStyle name="20% - 강조색3 36 2" xfId="588"/>
    <cellStyle name="20% - 강조색3 36 3" xfId="589"/>
    <cellStyle name="20% - 강조색3 36_Sheet1" xfId="590"/>
    <cellStyle name="20% - 강조색3 37" xfId="591"/>
    <cellStyle name="20% - 강조색3 37 2" xfId="592"/>
    <cellStyle name="20% - 강조색3 37 3" xfId="593"/>
    <cellStyle name="20% - 강조색3 37_Sheet1" xfId="594"/>
    <cellStyle name="20% - 강조색3 38" xfId="595"/>
    <cellStyle name="20% - 강조색3 38 2" xfId="596"/>
    <cellStyle name="20% - 강조색3 38 3" xfId="597"/>
    <cellStyle name="20% - 강조색3 38_Sheet1" xfId="598"/>
    <cellStyle name="20% - 강조색3 39" xfId="599"/>
    <cellStyle name="20% - 강조색3 39 2" xfId="600"/>
    <cellStyle name="20% - 강조색3 39 3" xfId="601"/>
    <cellStyle name="20% - 강조색3 39_Sheet1" xfId="602"/>
    <cellStyle name="20% - 강조색3 4" xfId="603"/>
    <cellStyle name="20% - 강조색3 40" xfId="604"/>
    <cellStyle name="20% - 강조색3 40 2" xfId="605"/>
    <cellStyle name="20% - 강조색3 40 3" xfId="606"/>
    <cellStyle name="20% - 강조색3 40_Sheet1" xfId="607"/>
    <cellStyle name="20% - 강조색3 41" xfId="608"/>
    <cellStyle name="20% - 강조색3 41 2" xfId="609"/>
    <cellStyle name="20% - 강조색3 41 3" xfId="610"/>
    <cellStyle name="20% - 강조색3 41_Sheet1" xfId="611"/>
    <cellStyle name="20% - 강조색3 42" xfId="612"/>
    <cellStyle name="20% - 강조색3 42 2" xfId="613"/>
    <cellStyle name="20% - 강조색3 42 3" xfId="614"/>
    <cellStyle name="20% - 강조색3 42_Sheet1" xfId="615"/>
    <cellStyle name="20% - 강조색3 43" xfId="616"/>
    <cellStyle name="20% - 강조색3 43 2" xfId="617"/>
    <cellStyle name="20% - 강조색3 43 3" xfId="618"/>
    <cellStyle name="20% - 강조색3 43_Sheet1" xfId="619"/>
    <cellStyle name="20% - 강조색3 44" xfId="620"/>
    <cellStyle name="20% - 강조색3 44 2" xfId="621"/>
    <cellStyle name="20% - 강조색3 44 3" xfId="622"/>
    <cellStyle name="20% - 강조색3 44_Sheet1" xfId="623"/>
    <cellStyle name="20% - 강조색3 45" xfId="624"/>
    <cellStyle name="20% - 강조색3 45 2" xfId="625"/>
    <cellStyle name="20% - 강조색3 45 3" xfId="626"/>
    <cellStyle name="20% - 강조색3 45_Sheet1" xfId="627"/>
    <cellStyle name="20% - 강조색3 46" xfId="628"/>
    <cellStyle name="20% - 강조색3 47" xfId="629"/>
    <cellStyle name="20% - 강조색3 48" xfId="630"/>
    <cellStyle name="20% - 강조색3 49" xfId="631"/>
    <cellStyle name="20% - 강조색3 5" xfId="632"/>
    <cellStyle name="20% - 강조색3 5 2" xfId="633"/>
    <cellStyle name="20% - 강조색3 5 3" xfId="634"/>
    <cellStyle name="20% - 강조색3 5_Sheet1" xfId="635"/>
    <cellStyle name="20% - 강조색3 50" xfId="636"/>
    <cellStyle name="20% - 강조색3 51" xfId="637"/>
    <cellStyle name="20% - 강조색3 52" xfId="638"/>
    <cellStyle name="20% - 강조색3 53" xfId="639"/>
    <cellStyle name="20% - 강조색3 54" xfId="640"/>
    <cellStyle name="20% - 강조색3 55" xfId="641"/>
    <cellStyle name="20% - 강조색3 56" xfId="642"/>
    <cellStyle name="20% - 강조색3 57" xfId="643"/>
    <cellStyle name="20% - 강조색3 58" xfId="644"/>
    <cellStyle name="20% - 강조색3 59" xfId="645"/>
    <cellStyle name="20% - 강조색3 6" xfId="646"/>
    <cellStyle name="20% - 강조색3 6 2" xfId="647"/>
    <cellStyle name="20% - 강조색3 6 3" xfId="648"/>
    <cellStyle name="20% - 강조색3 6_Sheet1" xfId="649"/>
    <cellStyle name="20% - 강조색3 60" xfId="650"/>
    <cellStyle name="20% - 강조색3 61" xfId="651"/>
    <cellStyle name="20% - 강조색3 62" xfId="652"/>
    <cellStyle name="20% - 강조색3 63" xfId="653"/>
    <cellStyle name="20% - 강조색3 64" xfId="654"/>
    <cellStyle name="20% - 강조색3 65" xfId="655"/>
    <cellStyle name="20% - 강조색3 66" xfId="656"/>
    <cellStyle name="20% - 강조색3 67" xfId="657"/>
    <cellStyle name="20% - 강조색3 68" xfId="658"/>
    <cellStyle name="20% - 강조색3 69" xfId="659"/>
    <cellStyle name="20% - 강조색3 7" xfId="660"/>
    <cellStyle name="20% - 강조색3 7 2" xfId="661"/>
    <cellStyle name="20% - 강조색3 7 3" xfId="662"/>
    <cellStyle name="20% - 강조색3 7_Sheet1" xfId="663"/>
    <cellStyle name="20% - 강조색3 70" xfId="664"/>
    <cellStyle name="20% - 강조색3 71" xfId="665"/>
    <cellStyle name="20% - 강조색3 72" xfId="666"/>
    <cellStyle name="20% - 강조색3 73" xfId="667"/>
    <cellStyle name="20% - 강조색3 74" xfId="668"/>
    <cellStyle name="20% - 강조색3 75" xfId="669"/>
    <cellStyle name="20% - 강조색3 76" xfId="670"/>
    <cellStyle name="20% - 강조색3 77" xfId="671"/>
    <cellStyle name="20% - 강조색3 78" xfId="672"/>
    <cellStyle name="20% - 강조색3 79" xfId="673"/>
    <cellStyle name="20% - 강조색3 8" xfId="674"/>
    <cellStyle name="20% - 강조색3 8 2" xfId="675"/>
    <cellStyle name="20% - 강조색3 8 3" xfId="676"/>
    <cellStyle name="20% - 강조색3 8_Sheet1" xfId="677"/>
    <cellStyle name="20% - 강조색3 80" xfId="678"/>
    <cellStyle name="20% - 강조색3 81" xfId="679"/>
    <cellStyle name="20% - 강조색3 82" xfId="680"/>
    <cellStyle name="20% - 강조색3 83" xfId="681"/>
    <cellStyle name="20% - 강조색3 84" xfId="682"/>
    <cellStyle name="20% - 강조색3 85" xfId="683"/>
    <cellStyle name="20% - 강조색3 86" xfId="684"/>
    <cellStyle name="20% - 강조색3 87" xfId="685"/>
    <cellStyle name="20% - 강조색3 88" xfId="686"/>
    <cellStyle name="20% - 강조색3 89" xfId="687"/>
    <cellStyle name="20% - 강조색3 9" xfId="688"/>
    <cellStyle name="20% - 강조색3 9 2" xfId="689"/>
    <cellStyle name="20% - 강조색3 9 3" xfId="690"/>
    <cellStyle name="20% - 강조색3 9_Sheet1" xfId="691"/>
    <cellStyle name="20% - 강조색3 90" xfId="692"/>
    <cellStyle name="20% - 강조색3 91" xfId="693"/>
    <cellStyle name="20% - 강조색3 92" xfId="694"/>
    <cellStyle name="20% - 강조색3 93" xfId="695"/>
    <cellStyle name="20% - 강조색3 94" xfId="696"/>
    <cellStyle name="20% - 강조색3 95" xfId="697"/>
    <cellStyle name="20% - 강조색3 96" xfId="698"/>
    <cellStyle name="20% - 강조색3 97" xfId="699"/>
    <cellStyle name="20% - 강조색3 98" xfId="700"/>
    <cellStyle name="20% - 강조색3 99" xfId="701"/>
    <cellStyle name="20% - 강조색4 10" xfId="702"/>
    <cellStyle name="20% - 강조색4 10 2" xfId="703"/>
    <cellStyle name="20% - 강조색4 10 3" xfId="704"/>
    <cellStyle name="20% - 강조색4 10_Sheet1" xfId="705"/>
    <cellStyle name="20% - 강조색4 100" xfId="706"/>
    <cellStyle name="20% - 강조색4 101" xfId="707"/>
    <cellStyle name="20% - 강조색4 102" xfId="708"/>
    <cellStyle name="20% - 강조색4 103" xfId="709"/>
    <cellStyle name="20% - 강조색4 104" xfId="710"/>
    <cellStyle name="20% - 강조색4 105" xfId="711"/>
    <cellStyle name="20% - 강조색4 106" xfId="712"/>
    <cellStyle name="20% - 강조색4 107" xfId="713"/>
    <cellStyle name="20% - 강조색4 108" xfId="714"/>
    <cellStyle name="20% - 강조색4 109" xfId="715"/>
    <cellStyle name="20% - 강조색4 11" xfId="716"/>
    <cellStyle name="20% - 강조색4 11 2" xfId="717"/>
    <cellStyle name="20% - 강조색4 11 3" xfId="718"/>
    <cellStyle name="20% - 강조색4 11_Sheet1" xfId="719"/>
    <cellStyle name="20% - 강조색4 110" xfId="720"/>
    <cellStyle name="20% - 강조색4 111" xfId="721"/>
    <cellStyle name="20% - 강조색4 12" xfId="722"/>
    <cellStyle name="20% - 강조색4 12 2" xfId="723"/>
    <cellStyle name="20% - 강조색4 12 3" xfId="724"/>
    <cellStyle name="20% - 강조색4 12_Sheet1" xfId="725"/>
    <cellStyle name="20% - 강조색4 13" xfId="726"/>
    <cellStyle name="20% - 강조색4 13 2" xfId="727"/>
    <cellStyle name="20% - 강조색4 13 3" xfId="728"/>
    <cellStyle name="20% - 강조색4 13_Sheet1" xfId="729"/>
    <cellStyle name="20% - 강조색4 14" xfId="730"/>
    <cellStyle name="20% - 강조색4 14 2" xfId="731"/>
    <cellStyle name="20% - 강조색4 14 3" xfId="732"/>
    <cellStyle name="20% - 강조색4 14_Sheet1" xfId="733"/>
    <cellStyle name="20% - 강조색4 15" xfId="734"/>
    <cellStyle name="20% - 강조색4 15 2" xfId="735"/>
    <cellStyle name="20% - 강조색4 15 3" xfId="736"/>
    <cellStyle name="20% - 강조색4 15_Sheet1" xfId="737"/>
    <cellStyle name="20% - 강조색4 16" xfId="738"/>
    <cellStyle name="20% - 강조색4 16 2" xfId="739"/>
    <cellStyle name="20% - 강조색4 16 3" xfId="740"/>
    <cellStyle name="20% - 강조색4 16_Sheet1" xfId="741"/>
    <cellStyle name="20% - 강조색4 17" xfId="742"/>
    <cellStyle name="20% - 강조색4 17 2" xfId="743"/>
    <cellStyle name="20% - 강조색4 17 3" xfId="744"/>
    <cellStyle name="20% - 강조색4 17_Sheet1" xfId="745"/>
    <cellStyle name="20% - 강조색4 18" xfId="746"/>
    <cellStyle name="20% - 강조색4 18 2" xfId="747"/>
    <cellStyle name="20% - 강조색4 18 3" xfId="748"/>
    <cellStyle name="20% - 강조색4 18_Sheet1" xfId="749"/>
    <cellStyle name="20% - 강조색4 19" xfId="750"/>
    <cellStyle name="20% - 강조색4 19 2" xfId="751"/>
    <cellStyle name="20% - 강조색4 19 3" xfId="752"/>
    <cellStyle name="20% - 강조색4 19_Sheet1" xfId="753"/>
    <cellStyle name="20% - 강조색4 2" xfId="754"/>
    <cellStyle name="20% - 강조색4 20" xfId="755"/>
    <cellStyle name="20% - 강조색4 20 2" xfId="756"/>
    <cellStyle name="20% - 강조색4 20 3" xfId="757"/>
    <cellStyle name="20% - 강조색4 20_Sheet1" xfId="758"/>
    <cellStyle name="20% - 강조색4 21" xfId="759"/>
    <cellStyle name="20% - 강조색4 21 2" xfId="760"/>
    <cellStyle name="20% - 강조색4 21 3" xfId="761"/>
    <cellStyle name="20% - 강조색4 21_Sheet1" xfId="762"/>
    <cellStyle name="20% - 강조색4 22" xfId="763"/>
    <cellStyle name="20% - 강조색4 22 2" xfId="764"/>
    <cellStyle name="20% - 강조색4 22 3" xfId="765"/>
    <cellStyle name="20% - 강조색4 22_Sheet1" xfId="766"/>
    <cellStyle name="20% - 강조색4 23" xfId="767"/>
    <cellStyle name="20% - 강조색4 23 2" xfId="768"/>
    <cellStyle name="20% - 강조색4 23 3" xfId="769"/>
    <cellStyle name="20% - 강조색4 23_Sheet1" xfId="770"/>
    <cellStyle name="20% - 강조색4 24" xfId="771"/>
    <cellStyle name="20% - 강조색4 24 2" xfId="772"/>
    <cellStyle name="20% - 강조색4 24 3" xfId="773"/>
    <cellStyle name="20% - 강조색4 24_Sheet1" xfId="774"/>
    <cellStyle name="20% - 강조색4 25" xfId="775"/>
    <cellStyle name="20% - 강조색4 25 2" xfId="776"/>
    <cellStyle name="20% - 강조색4 25 3" xfId="777"/>
    <cellStyle name="20% - 강조색4 25_Sheet1" xfId="778"/>
    <cellStyle name="20% - 강조색4 26" xfId="779"/>
    <cellStyle name="20% - 강조색4 26 2" xfId="780"/>
    <cellStyle name="20% - 강조색4 26 3" xfId="781"/>
    <cellStyle name="20% - 강조색4 26_Sheet1" xfId="782"/>
    <cellStyle name="20% - 강조색4 27" xfId="783"/>
    <cellStyle name="20% - 강조색4 27 2" xfId="784"/>
    <cellStyle name="20% - 강조색4 27 3" xfId="785"/>
    <cellStyle name="20% - 강조색4 27_Sheet1" xfId="786"/>
    <cellStyle name="20% - 강조색4 28" xfId="787"/>
    <cellStyle name="20% - 강조색4 28 2" xfId="788"/>
    <cellStyle name="20% - 강조색4 28 3" xfId="789"/>
    <cellStyle name="20% - 강조색4 28_Sheet1" xfId="790"/>
    <cellStyle name="20% - 강조색4 29" xfId="791"/>
    <cellStyle name="20% - 강조색4 29 2" xfId="792"/>
    <cellStyle name="20% - 강조색4 29 3" xfId="793"/>
    <cellStyle name="20% - 강조색4 29_Sheet1" xfId="794"/>
    <cellStyle name="20% - 강조색4 3" xfId="795"/>
    <cellStyle name="20% - 강조색4 30" xfId="796"/>
    <cellStyle name="20% - 강조색4 30 2" xfId="797"/>
    <cellStyle name="20% - 강조색4 30 3" xfId="798"/>
    <cellStyle name="20% - 강조색4 30_Sheet1" xfId="799"/>
    <cellStyle name="20% - 강조색4 31" xfId="800"/>
    <cellStyle name="20% - 강조색4 31 2" xfId="801"/>
    <cellStyle name="20% - 강조색4 31 3" xfId="802"/>
    <cellStyle name="20% - 강조색4 31_Sheet1" xfId="803"/>
    <cellStyle name="20% - 강조색4 32" xfId="804"/>
    <cellStyle name="20% - 강조색4 32 2" xfId="805"/>
    <cellStyle name="20% - 강조색4 32 3" xfId="806"/>
    <cellStyle name="20% - 강조색4 32_Sheet1" xfId="807"/>
    <cellStyle name="20% - 강조색4 33" xfId="808"/>
    <cellStyle name="20% - 강조색4 33 2" xfId="809"/>
    <cellStyle name="20% - 강조색4 33 3" xfId="810"/>
    <cellStyle name="20% - 강조색4 33_Sheet1" xfId="811"/>
    <cellStyle name="20% - 강조색4 34" xfId="812"/>
    <cellStyle name="20% - 강조색4 34 2" xfId="813"/>
    <cellStyle name="20% - 강조색4 34 3" xfId="814"/>
    <cellStyle name="20% - 강조색4 34_Sheet1" xfId="815"/>
    <cellStyle name="20% - 강조색4 35" xfId="816"/>
    <cellStyle name="20% - 강조색4 35 2" xfId="817"/>
    <cellStyle name="20% - 강조색4 35 3" xfId="818"/>
    <cellStyle name="20% - 강조색4 35_Sheet1" xfId="819"/>
    <cellStyle name="20% - 강조색4 36" xfId="820"/>
    <cellStyle name="20% - 강조색4 36 2" xfId="821"/>
    <cellStyle name="20% - 강조색4 36 3" xfId="822"/>
    <cellStyle name="20% - 강조색4 36_Sheet1" xfId="823"/>
    <cellStyle name="20% - 강조색4 37" xfId="824"/>
    <cellStyle name="20% - 강조색4 37 2" xfId="825"/>
    <cellStyle name="20% - 강조색4 37 3" xfId="826"/>
    <cellStyle name="20% - 강조색4 37_Sheet1" xfId="827"/>
    <cellStyle name="20% - 강조색4 38" xfId="828"/>
    <cellStyle name="20% - 강조색4 38 2" xfId="829"/>
    <cellStyle name="20% - 강조색4 38 3" xfId="830"/>
    <cellStyle name="20% - 강조색4 38_Sheet1" xfId="831"/>
    <cellStyle name="20% - 강조색4 39" xfId="832"/>
    <cellStyle name="20% - 강조색4 39 2" xfId="833"/>
    <cellStyle name="20% - 강조색4 39 3" xfId="834"/>
    <cellStyle name="20% - 강조색4 39_Sheet1" xfId="835"/>
    <cellStyle name="20% - 강조색4 4" xfId="836"/>
    <cellStyle name="20% - 강조색4 40" xfId="837"/>
    <cellStyle name="20% - 강조색4 40 2" xfId="838"/>
    <cellStyle name="20% - 강조색4 40 3" xfId="839"/>
    <cellStyle name="20% - 강조색4 40_Sheet1" xfId="840"/>
    <cellStyle name="20% - 강조색4 41" xfId="841"/>
    <cellStyle name="20% - 강조색4 41 2" xfId="842"/>
    <cellStyle name="20% - 강조색4 41 3" xfId="843"/>
    <cellStyle name="20% - 강조색4 41_Sheet1" xfId="844"/>
    <cellStyle name="20% - 강조색4 42" xfId="845"/>
    <cellStyle name="20% - 강조색4 42 2" xfId="846"/>
    <cellStyle name="20% - 강조색4 42 3" xfId="847"/>
    <cellStyle name="20% - 강조색4 42_Sheet1" xfId="848"/>
    <cellStyle name="20% - 강조색4 43" xfId="849"/>
    <cellStyle name="20% - 강조색4 43 2" xfId="850"/>
    <cellStyle name="20% - 강조색4 43 3" xfId="851"/>
    <cellStyle name="20% - 강조색4 43_Sheet1" xfId="852"/>
    <cellStyle name="20% - 강조색4 44" xfId="853"/>
    <cellStyle name="20% - 강조색4 44 2" xfId="854"/>
    <cellStyle name="20% - 강조색4 44 3" xfId="855"/>
    <cellStyle name="20% - 강조색4 44_Sheet1" xfId="856"/>
    <cellStyle name="20% - 강조색4 45" xfId="857"/>
    <cellStyle name="20% - 강조색4 45 2" xfId="858"/>
    <cellStyle name="20% - 강조색4 45 3" xfId="859"/>
    <cellStyle name="20% - 강조색4 45_Sheet1" xfId="860"/>
    <cellStyle name="20% - 강조색4 46" xfId="861"/>
    <cellStyle name="20% - 강조색4 47" xfId="862"/>
    <cellStyle name="20% - 강조색4 48" xfId="863"/>
    <cellStyle name="20% - 강조색4 49" xfId="864"/>
    <cellStyle name="20% - 강조색4 5" xfId="865"/>
    <cellStyle name="20% - 강조색4 5 2" xfId="866"/>
    <cellStyle name="20% - 강조색4 5 3" xfId="867"/>
    <cellStyle name="20% - 강조색4 5_Sheet1" xfId="868"/>
    <cellStyle name="20% - 강조색4 50" xfId="869"/>
    <cellStyle name="20% - 강조색4 51" xfId="870"/>
    <cellStyle name="20% - 강조색4 52" xfId="871"/>
    <cellStyle name="20% - 강조색4 53" xfId="872"/>
    <cellStyle name="20% - 강조색4 54" xfId="873"/>
    <cellStyle name="20% - 강조색4 55" xfId="874"/>
    <cellStyle name="20% - 강조색4 56" xfId="875"/>
    <cellStyle name="20% - 강조색4 57" xfId="876"/>
    <cellStyle name="20% - 강조색4 58" xfId="877"/>
    <cellStyle name="20% - 강조색4 59" xfId="878"/>
    <cellStyle name="20% - 강조색4 6" xfId="879"/>
    <cellStyle name="20% - 강조색4 6 2" xfId="880"/>
    <cellStyle name="20% - 강조색4 6 3" xfId="881"/>
    <cellStyle name="20% - 강조색4 6_Sheet1" xfId="882"/>
    <cellStyle name="20% - 강조색4 60" xfId="883"/>
    <cellStyle name="20% - 강조색4 61" xfId="884"/>
    <cellStyle name="20% - 강조색4 62" xfId="885"/>
    <cellStyle name="20% - 강조색4 63" xfId="886"/>
    <cellStyle name="20% - 강조색4 64" xfId="887"/>
    <cellStyle name="20% - 강조색4 65" xfId="888"/>
    <cellStyle name="20% - 강조색4 66" xfId="889"/>
    <cellStyle name="20% - 강조색4 67" xfId="890"/>
    <cellStyle name="20% - 강조색4 68" xfId="891"/>
    <cellStyle name="20% - 강조색4 69" xfId="892"/>
    <cellStyle name="20% - 강조색4 7" xfId="893"/>
    <cellStyle name="20% - 강조색4 7 2" xfId="894"/>
    <cellStyle name="20% - 강조색4 7 3" xfId="895"/>
    <cellStyle name="20% - 강조색4 7_Sheet1" xfId="896"/>
    <cellStyle name="20% - 강조색4 70" xfId="897"/>
    <cellStyle name="20% - 강조색4 71" xfId="898"/>
    <cellStyle name="20% - 강조색4 72" xfId="899"/>
    <cellStyle name="20% - 강조색4 73" xfId="900"/>
    <cellStyle name="20% - 강조색4 74" xfId="901"/>
    <cellStyle name="20% - 강조색4 75" xfId="902"/>
    <cellStyle name="20% - 강조색4 76" xfId="903"/>
    <cellStyle name="20% - 강조색4 77" xfId="904"/>
    <cellStyle name="20% - 강조색4 78" xfId="905"/>
    <cellStyle name="20% - 강조색4 79" xfId="906"/>
    <cellStyle name="20% - 강조색4 8" xfId="907"/>
    <cellStyle name="20% - 강조색4 8 2" xfId="908"/>
    <cellStyle name="20% - 강조색4 8 3" xfId="909"/>
    <cellStyle name="20% - 강조색4 8_Sheet1" xfId="910"/>
    <cellStyle name="20% - 강조색4 80" xfId="911"/>
    <cellStyle name="20% - 강조색4 81" xfId="912"/>
    <cellStyle name="20% - 강조색4 82" xfId="913"/>
    <cellStyle name="20% - 강조색4 83" xfId="914"/>
    <cellStyle name="20% - 강조색4 84" xfId="915"/>
    <cellStyle name="20% - 강조색4 85" xfId="916"/>
    <cellStyle name="20% - 강조색4 86" xfId="917"/>
    <cellStyle name="20% - 강조색4 87" xfId="918"/>
    <cellStyle name="20% - 강조색4 88" xfId="919"/>
    <cellStyle name="20% - 강조색4 89" xfId="920"/>
    <cellStyle name="20% - 강조색4 9" xfId="921"/>
    <cellStyle name="20% - 강조색4 9 2" xfId="922"/>
    <cellStyle name="20% - 강조색4 9 3" xfId="923"/>
    <cellStyle name="20% - 강조색4 9_Sheet1" xfId="924"/>
    <cellStyle name="20% - 강조색4 90" xfId="925"/>
    <cellStyle name="20% - 강조색4 91" xfId="926"/>
    <cellStyle name="20% - 강조색4 92" xfId="927"/>
    <cellStyle name="20% - 강조색4 93" xfId="928"/>
    <cellStyle name="20% - 강조색4 94" xfId="929"/>
    <cellStyle name="20% - 강조색4 95" xfId="930"/>
    <cellStyle name="20% - 강조색4 96" xfId="931"/>
    <cellStyle name="20% - 강조색4 97" xfId="932"/>
    <cellStyle name="20% - 강조색4 98" xfId="933"/>
    <cellStyle name="20% - 강조색4 99" xfId="934"/>
    <cellStyle name="20% - 강조색5 10" xfId="935"/>
    <cellStyle name="20% - 강조색5 10 2" xfId="936"/>
    <cellStyle name="20% - 강조색5 10 3" xfId="937"/>
    <cellStyle name="20% - 강조색5 10_Sheet1" xfId="938"/>
    <cellStyle name="20% - 강조색5 100" xfId="939"/>
    <cellStyle name="20% - 강조색5 101" xfId="940"/>
    <cellStyle name="20% - 강조색5 102" xfId="941"/>
    <cellStyle name="20% - 강조색5 103" xfId="942"/>
    <cellStyle name="20% - 강조색5 104" xfId="943"/>
    <cellStyle name="20% - 강조색5 105" xfId="944"/>
    <cellStyle name="20% - 강조색5 106" xfId="945"/>
    <cellStyle name="20% - 강조색5 107" xfId="946"/>
    <cellStyle name="20% - 강조색5 108" xfId="947"/>
    <cellStyle name="20% - 강조색5 109" xfId="948"/>
    <cellStyle name="20% - 강조색5 11" xfId="949"/>
    <cellStyle name="20% - 강조색5 11 2" xfId="950"/>
    <cellStyle name="20% - 강조색5 11 3" xfId="951"/>
    <cellStyle name="20% - 강조색5 11_Sheet1" xfId="952"/>
    <cellStyle name="20% - 강조색5 110" xfId="953"/>
    <cellStyle name="20% - 강조색5 111" xfId="954"/>
    <cellStyle name="20% - 강조색5 12" xfId="955"/>
    <cellStyle name="20% - 강조색5 12 2" xfId="956"/>
    <cellStyle name="20% - 강조색5 12 3" xfId="957"/>
    <cellStyle name="20% - 강조색5 12_Sheet1" xfId="958"/>
    <cellStyle name="20% - 강조색5 13" xfId="959"/>
    <cellStyle name="20% - 강조색5 13 2" xfId="960"/>
    <cellStyle name="20% - 강조색5 13 3" xfId="961"/>
    <cellStyle name="20% - 강조색5 13_Sheet1" xfId="962"/>
    <cellStyle name="20% - 강조색5 14" xfId="963"/>
    <cellStyle name="20% - 강조색5 14 2" xfId="964"/>
    <cellStyle name="20% - 강조색5 14 3" xfId="965"/>
    <cellStyle name="20% - 강조색5 14_Sheet1" xfId="966"/>
    <cellStyle name="20% - 강조색5 15" xfId="967"/>
    <cellStyle name="20% - 강조색5 15 2" xfId="968"/>
    <cellStyle name="20% - 강조색5 15 3" xfId="969"/>
    <cellStyle name="20% - 강조색5 15_Sheet1" xfId="970"/>
    <cellStyle name="20% - 강조색5 16" xfId="971"/>
    <cellStyle name="20% - 강조색5 16 2" xfId="972"/>
    <cellStyle name="20% - 강조색5 16 3" xfId="973"/>
    <cellStyle name="20% - 강조색5 16_Sheet1" xfId="974"/>
    <cellStyle name="20% - 강조색5 17" xfId="975"/>
    <cellStyle name="20% - 강조색5 17 2" xfId="976"/>
    <cellStyle name="20% - 강조색5 17 3" xfId="977"/>
    <cellStyle name="20% - 강조색5 17_Sheet1" xfId="978"/>
    <cellStyle name="20% - 강조색5 18" xfId="979"/>
    <cellStyle name="20% - 강조색5 18 2" xfId="980"/>
    <cellStyle name="20% - 강조색5 18 3" xfId="981"/>
    <cellStyle name="20% - 강조색5 18_Sheet1" xfId="982"/>
    <cellStyle name="20% - 강조색5 19" xfId="983"/>
    <cellStyle name="20% - 강조색5 19 2" xfId="984"/>
    <cellStyle name="20% - 강조색5 19 3" xfId="985"/>
    <cellStyle name="20% - 강조색5 19_Sheet1" xfId="986"/>
    <cellStyle name="20% - 강조색5 2" xfId="987"/>
    <cellStyle name="20% - 강조색5 20" xfId="988"/>
    <cellStyle name="20% - 강조색5 20 2" xfId="989"/>
    <cellStyle name="20% - 강조색5 20 3" xfId="990"/>
    <cellStyle name="20% - 강조색5 20_Sheet1" xfId="991"/>
    <cellStyle name="20% - 강조색5 21" xfId="992"/>
    <cellStyle name="20% - 강조색5 21 2" xfId="993"/>
    <cellStyle name="20% - 강조색5 21 3" xfId="994"/>
    <cellStyle name="20% - 강조색5 21_Sheet1" xfId="995"/>
    <cellStyle name="20% - 강조색5 22" xfId="996"/>
    <cellStyle name="20% - 강조색5 22 2" xfId="997"/>
    <cellStyle name="20% - 강조색5 22 3" xfId="998"/>
    <cellStyle name="20% - 강조색5 22_Sheet1" xfId="999"/>
    <cellStyle name="20% - 강조색5 23" xfId="1000"/>
    <cellStyle name="20% - 강조색5 23 2" xfId="1001"/>
    <cellStyle name="20% - 강조색5 23 3" xfId="1002"/>
    <cellStyle name="20% - 강조색5 23_Sheet1" xfId="1003"/>
    <cellStyle name="20% - 강조색5 24" xfId="1004"/>
    <cellStyle name="20% - 강조색5 24 2" xfId="1005"/>
    <cellStyle name="20% - 강조색5 24 3" xfId="1006"/>
    <cellStyle name="20% - 강조색5 24_Sheet1" xfId="1007"/>
    <cellStyle name="20% - 강조색5 25" xfId="1008"/>
    <cellStyle name="20% - 강조색5 25 2" xfId="1009"/>
    <cellStyle name="20% - 강조색5 25 3" xfId="1010"/>
    <cellStyle name="20% - 강조색5 25_Sheet1" xfId="1011"/>
    <cellStyle name="20% - 강조색5 26" xfId="1012"/>
    <cellStyle name="20% - 강조색5 26 2" xfId="1013"/>
    <cellStyle name="20% - 강조색5 26 3" xfId="1014"/>
    <cellStyle name="20% - 강조색5 26_Sheet1" xfId="1015"/>
    <cellStyle name="20% - 강조색5 27" xfId="1016"/>
    <cellStyle name="20% - 강조색5 27 2" xfId="1017"/>
    <cellStyle name="20% - 강조색5 27 3" xfId="1018"/>
    <cellStyle name="20% - 강조색5 27_Sheet1" xfId="1019"/>
    <cellStyle name="20% - 강조색5 28" xfId="1020"/>
    <cellStyle name="20% - 강조색5 28 2" xfId="1021"/>
    <cellStyle name="20% - 강조색5 28 3" xfId="1022"/>
    <cellStyle name="20% - 강조색5 28_Sheet1" xfId="1023"/>
    <cellStyle name="20% - 강조색5 29" xfId="1024"/>
    <cellStyle name="20% - 강조색5 29 2" xfId="1025"/>
    <cellStyle name="20% - 강조색5 29 3" xfId="1026"/>
    <cellStyle name="20% - 강조색5 29_Sheet1" xfId="1027"/>
    <cellStyle name="20% - 강조색5 3" xfId="1028"/>
    <cellStyle name="20% - 강조색5 30" xfId="1029"/>
    <cellStyle name="20% - 강조색5 30 2" xfId="1030"/>
    <cellStyle name="20% - 강조색5 30 3" xfId="1031"/>
    <cellStyle name="20% - 강조색5 30_Sheet1" xfId="1032"/>
    <cellStyle name="20% - 강조색5 31" xfId="1033"/>
    <cellStyle name="20% - 강조색5 31 2" xfId="1034"/>
    <cellStyle name="20% - 강조색5 31 3" xfId="1035"/>
    <cellStyle name="20% - 강조색5 31_Sheet1" xfId="1036"/>
    <cellStyle name="20% - 강조색5 32" xfId="1037"/>
    <cellStyle name="20% - 강조색5 32 2" xfId="1038"/>
    <cellStyle name="20% - 강조색5 32 3" xfId="1039"/>
    <cellStyle name="20% - 강조색5 32_Sheet1" xfId="1040"/>
    <cellStyle name="20% - 강조색5 33" xfId="1041"/>
    <cellStyle name="20% - 강조색5 33 2" xfId="1042"/>
    <cellStyle name="20% - 강조색5 33 3" xfId="1043"/>
    <cellStyle name="20% - 강조색5 33_Sheet1" xfId="1044"/>
    <cellStyle name="20% - 강조색5 34" xfId="1045"/>
    <cellStyle name="20% - 강조색5 34 2" xfId="1046"/>
    <cellStyle name="20% - 강조색5 34 3" xfId="1047"/>
    <cellStyle name="20% - 강조색5 34_Sheet1" xfId="1048"/>
    <cellStyle name="20% - 강조색5 35" xfId="1049"/>
    <cellStyle name="20% - 강조색5 35 2" xfId="1050"/>
    <cellStyle name="20% - 강조색5 35 3" xfId="1051"/>
    <cellStyle name="20% - 강조색5 35_Sheet1" xfId="1052"/>
    <cellStyle name="20% - 강조색5 36" xfId="1053"/>
    <cellStyle name="20% - 강조색5 36 2" xfId="1054"/>
    <cellStyle name="20% - 강조색5 36 3" xfId="1055"/>
    <cellStyle name="20% - 강조색5 36_Sheet1" xfId="1056"/>
    <cellStyle name="20% - 강조색5 37" xfId="1057"/>
    <cellStyle name="20% - 강조색5 37 2" xfId="1058"/>
    <cellStyle name="20% - 강조색5 37 3" xfId="1059"/>
    <cellStyle name="20% - 강조색5 37_Sheet1" xfId="1060"/>
    <cellStyle name="20% - 강조색5 38" xfId="1061"/>
    <cellStyle name="20% - 강조색5 38 2" xfId="1062"/>
    <cellStyle name="20% - 강조색5 38 3" xfId="1063"/>
    <cellStyle name="20% - 강조색5 38_Sheet1" xfId="1064"/>
    <cellStyle name="20% - 강조색5 39" xfId="1065"/>
    <cellStyle name="20% - 강조색5 39 2" xfId="1066"/>
    <cellStyle name="20% - 강조색5 39 3" xfId="1067"/>
    <cellStyle name="20% - 강조색5 39_Sheet1" xfId="1068"/>
    <cellStyle name="20% - 강조색5 4" xfId="1069"/>
    <cellStyle name="20% - 강조색5 40" xfId="1070"/>
    <cellStyle name="20% - 강조색5 40 2" xfId="1071"/>
    <cellStyle name="20% - 강조색5 40 3" xfId="1072"/>
    <cellStyle name="20% - 강조색5 40_Sheet1" xfId="1073"/>
    <cellStyle name="20% - 강조색5 41" xfId="1074"/>
    <cellStyle name="20% - 강조색5 41 2" xfId="1075"/>
    <cellStyle name="20% - 강조색5 41 3" xfId="1076"/>
    <cellStyle name="20% - 강조색5 41_Sheet1" xfId="1077"/>
    <cellStyle name="20% - 강조색5 42" xfId="1078"/>
    <cellStyle name="20% - 강조색5 42 2" xfId="1079"/>
    <cellStyle name="20% - 강조색5 42 3" xfId="1080"/>
    <cellStyle name="20% - 강조색5 42_Sheet1" xfId="1081"/>
    <cellStyle name="20% - 강조색5 43" xfId="1082"/>
    <cellStyle name="20% - 강조색5 43 2" xfId="1083"/>
    <cellStyle name="20% - 강조색5 43 3" xfId="1084"/>
    <cellStyle name="20% - 강조색5 43_Sheet1" xfId="1085"/>
    <cellStyle name="20% - 강조색5 44" xfId="1086"/>
    <cellStyle name="20% - 강조색5 44 2" xfId="1087"/>
    <cellStyle name="20% - 강조색5 44 3" xfId="1088"/>
    <cellStyle name="20% - 강조색5 44_Sheet1" xfId="1089"/>
    <cellStyle name="20% - 강조색5 45" xfId="1090"/>
    <cellStyle name="20% - 강조색5 45 2" xfId="1091"/>
    <cellStyle name="20% - 강조색5 45 3" xfId="1092"/>
    <cellStyle name="20% - 강조색5 45_Sheet1" xfId="1093"/>
    <cellStyle name="20% - 강조색5 46" xfId="1094"/>
    <cellStyle name="20% - 강조색5 47" xfId="1095"/>
    <cellStyle name="20% - 강조색5 48" xfId="1096"/>
    <cellStyle name="20% - 강조색5 49" xfId="1097"/>
    <cellStyle name="20% - 강조색5 5" xfId="1098"/>
    <cellStyle name="20% - 강조색5 5 2" xfId="1099"/>
    <cellStyle name="20% - 강조색5 5 3" xfId="1100"/>
    <cellStyle name="20% - 강조색5 5_Sheet1" xfId="1101"/>
    <cellStyle name="20% - 강조색5 50" xfId="1102"/>
    <cellStyle name="20% - 강조색5 51" xfId="1103"/>
    <cellStyle name="20% - 강조색5 52" xfId="1104"/>
    <cellStyle name="20% - 강조색5 53" xfId="1105"/>
    <cellStyle name="20% - 강조색5 54" xfId="1106"/>
    <cellStyle name="20% - 강조색5 55" xfId="1107"/>
    <cellStyle name="20% - 강조색5 56" xfId="1108"/>
    <cellStyle name="20% - 강조색5 57" xfId="1109"/>
    <cellStyle name="20% - 강조색5 58" xfId="1110"/>
    <cellStyle name="20% - 강조색5 59" xfId="1111"/>
    <cellStyle name="20% - 강조색5 6" xfId="1112"/>
    <cellStyle name="20% - 강조색5 6 2" xfId="1113"/>
    <cellStyle name="20% - 강조색5 6 3" xfId="1114"/>
    <cellStyle name="20% - 강조색5 6_Sheet1" xfId="1115"/>
    <cellStyle name="20% - 강조색5 60" xfId="1116"/>
    <cellStyle name="20% - 강조색5 61" xfId="1117"/>
    <cellStyle name="20% - 강조색5 62" xfId="1118"/>
    <cellStyle name="20% - 강조색5 63" xfId="1119"/>
    <cellStyle name="20% - 강조색5 64" xfId="1120"/>
    <cellStyle name="20% - 강조색5 65" xfId="1121"/>
    <cellStyle name="20% - 강조색5 66" xfId="1122"/>
    <cellStyle name="20% - 강조색5 67" xfId="1123"/>
    <cellStyle name="20% - 강조색5 68" xfId="1124"/>
    <cellStyle name="20% - 강조색5 69" xfId="1125"/>
    <cellStyle name="20% - 강조색5 7" xfId="1126"/>
    <cellStyle name="20% - 강조색5 7 2" xfId="1127"/>
    <cellStyle name="20% - 강조색5 7 3" xfId="1128"/>
    <cellStyle name="20% - 강조색5 7_Sheet1" xfId="1129"/>
    <cellStyle name="20% - 강조색5 70" xfId="1130"/>
    <cellStyle name="20% - 강조색5 71" xfId="1131"/>
    <cellStyle name="20% - 강조색5 72" xfId="1132"/>
    <cellStyle name="20% - 강조색5 73" xfId="1133"/>
    <cellStyle name="20% - 강조색5 74" xfId="1134"/>
    <cellStyle name="20% - 강조색5 75" xfId="1135"/>
    <cellStyle name="20% - 강조색5 76" xfId="1136"/>
    <cellStyle name="20% - 강조색5 77" xfId="1137"/>
    <cellStyle name="20% - 강조색5 78" xfId="1138"/>
    <cellStyle name="20% - 강조색5 79" xfId="1139"/>
    <cellStyle name="20% - 강조색5 8" xfId="1140"/>
    <cellStyle name="20% - 강조색5 8 2" xfId="1141"/>
    <cellStyle name="20% - 강조색5 8 3" xfId="1142"/>
    <cellStyle name="20% - 강조색5 8_Sheet1" xfId="1143"/>
    <cellStyle name="20% - 강조색5 80" xfId="1144"/>
    <cellStyle name="20% - 강조색5 81" xfId="1145"/>
    <cellStyle name="20% - 강조색5 82" xfId="1146"/>
    <cellStyle name="20% - 강조색5 83" xfId="1147"/>
    <cellStyle name="20% - 강조색5 84" xfId="1148"/>
    <cellStyle name="20% - 강조색5 85" xfId="1149"/>
    <cellStyle name="20% - 강조색5 86" xfId="1150"/>
    <cellStyle name="20% - 강조색5 87" xfId="1151"/>
    <cellStyle name="20% - 강조색5 88" xfId="1152"/>
    <cellStyle name="20% - 강조색5 89" xfId="1153"/>
    <cellStyle name="20% - 강조색5 9" xfId="1154"/>
    <cellStyle name="20% - 강조색5 9 2" xfId="1155"/>
    <cellStyle name="20% - 강조색5 9 3" xfId="1156"/>
    <cellStyle name="20% - 강조색5 9_Sheet1" xfId="1157"/>
    <cellStyle name="20% - 강조색5 90" xfId="1158"/>
    <cellStyle name="20% - 강조색5 91" xfId="1159"/>
    <cellStyle name="20% - 강조색5 92" xfId="1160"/>
    <cellStyle name="20% - 강조색5 93" xfId="1161"/>
    <cellStyle name="20% - 강조색5 94" xfId="1162"/>
    <cellStyle name="20% - 강조색5 95" xfId="1163"/>
    <cellStyle name="20% - 강조색5 96" xfId="1164"/>
    <cellStyle name="20% - 강조색5 97" xfId="1165"/>
    <cellStyle name="20% - 강조색5 98" xfId="1166"/>
    <cellStyle name="20% - 강조색5 99" xfId="1167"/>
    <cellStyle name="20% - 강조색6 10" xfId="1168"/>
    <cellStyle name="20% - 강조색6 10 2" xfId="1169"/>
    <cellStyle name="20% - 강조색6 10 3" xfId="1170"/>
    <cellStyle name="20% - 강조색6 10_Sheet1" xfId="1171"/>
    <cellStyle name="20% - 강조색6 100" xfId="1172"/>
    <cellStyle name="20% - 강조색6 101" xfId="1173"/>
    <cellStyle name="20% - 강조색6 102" xfId="1174"/>
    <cellStyle name="20% - 강조색6 103" xfId="1175"/>
    <cellStyle name="20% - 강조색6 104" xfId="1176"/>
    <cellStyle name="20% - 강조색6 105" xfId="1177"/>
    <cellStyle name="20% - 강조색6 106" xfId="1178"/>
    <cellStyle name="20% - 강조색6 107" xfId="1179"/>
    <cellStyle name="20% - 강조색6 108" xfId="1180"/>
    <cellStyle name="20% - 강조색6 109" xfId="1181"/>
    <cellStyle name="20% - 강조색6 11" xfId="1182"/>
    <cellStyle name="20% - 강조색6 11 2" xfId="1183"/>
    <cellStyle name="20% - 강조색6 11 3" xfId="1184"/>
    <cellStyle name="20% - 강조색6 11_Sheet1" xfId="1185"/>
    <cellStyle name="20% - 강조색6 110" xfId="1186"/>
    <cellStyle name="20% - 강조색6 111" xfId="1187"/>
    <cellStyle name="20% - 강조색6 12" xfId="1188"/>
    <cellStyle name="20% - 강조색6 12 2" xfId="1189"/>
    <cellStyle name="20% - 강조색6 12 3" xfId="1190"/>
    <cellStyle name="20% - 강조색6 12_Sheet1" xfId="1191"/>
    <cellStyle name="20% - 강조색6 13" xfId="1192"/>
    <cellStyle name="20% - 강조색6 13 2" xfId="1193"/>
    <cellStyle name="20% - 강조색6 13 3" xfId="1194"/>
    <cellStyle name="20% - 강조색6 13_Sheet1" xfId="1195"/>
    <cellStyle name="20% - 강조색6 14" xfId="1196"/>
    <cellStyle name="20% - 강조색6 14 2" xfId="1197"/>
    <cellStyle name="20% - 강조색6 14 3" xfId="1198"/>
    <cellStyle name="20% - 강조색6 14_Sheet1" xfId="1199"/>
    <cellStyle name="20% - 강조색6 15" xfId="1200"/>
    <cellStyle name="20% - 강조색6 15 2" xfId="1201"/>
    <cellStyle name="20% - 강조색6 15 3" xfId="1202"/>
    <cellStyle name="20% - 강조색6 15_Sheet1" xfId="1203"/>
    <cellStyle name="20% - 강조색6 16" xfId="1204"/>
    <cellStyle name="20% - 강조색6 16 2" xfId="1205"/>
    <cellStyle name="20% - 강조색6 16 3" xfId="1206"/>
    <cellStyle name="20% - 강조색6 16_Sheet1" xfId="1207"/>
    <cellStyle name="20% - 강조색6 17" xfId="1208"/>
    <cellStyle name="20% - 강조색6 17 2" xfId="1209"/>
    <cellStyle name="20% - 강조색6 17 3" xfId="1210"/>
    <cellStyle name="20% - 강조색6 17_Sheet1" xfId="1211"/>
    <cellStyle name="20% - 강조색6 18" xfId="1212"/>
    <cellStyle name="20% - 강조색6 18 2" xfId="1213"/>
    <cellStyle name="20% - 강조색6 18 3" xfId="1214"/>
    <cellStyle name="20% - 강조색6 18_Sheet1" xfId="1215"/>
    <cellStyle name="20% - 강조색6 19" xfId="1216"/>
    <cellStyle name="20% - 강조색6 19 2" xfId="1217"/>
    <cellStyle name="20% - 강조색6 19 3" xfId="1218"/>
    <cellStyle name="20% - 강조색6 19_Sheet1" xfId="1219"/>
    <cellStyle name="20% - 강조색6 2" xfId="1220"/>
    <cellStyle name="20% - 강조색6 20" xfId="1221"/>
    <cellStyle name="20% - 강조색6 20 2" xfId="1222"/>
    <cellStyle name="20% - 강조색6 20 3" xfId="1223"/>
    <cellStyle name="20% - 강조색6 20_Sheet1" xfId="1224"/>
    <cellStyle name="20% - 강조색6 21" xfId="1225"/>
    <cellStyle name="20% - 강조색6 21 2" xfId="1226"/>
    <cellStyle name="20% - 강조색6 21 3" xfId="1227"/>
    <cellStyle name="20% - 강조색6 21_Sheet1" xfId="1228"/>
    <cellStyle name="20% - 강조색6 22" xfId="1229"/>
    <cellStyle name="20% - 강조색6 22 2" xfId="1230"/>
    <cellStyle name="20% - 강조색6 22 3" xfId="1231"/>
    <cellStyle name="20% - 강조색6 22_Sheet1" xfId="1232"/>
    <cellStyle name="20% - 강조색6 23" xfId="1233"/>
    <cellStyle name="20% - 강조색6 23 2" xfId="1234"/>
    <cellStyle name="20% - 강조색6 23 3" xfId="1235"/>
    <cellStyle name="20% - 강조색6 23_Sheet1" xfId="1236"/>
    <cellStyle name="20% - 강조색6 24" xfId="1237"/>
    <cellStyle name="20% - 강조색6 24 2" xfId="1238"/>
    <cellStyle name="20% - 강조색6 24 3" xfId="1239"/>
    <cellStyle name="20% - 강조색6 24_Sheet1" xfId="1240"/>
    <cellStyle name="20% - 강조색6 25" xfId="1241"/>
    <cellStyle name="20% - 강조색6 25 2" xfId="1242"/>
    <cellStyle name="20% - 강조색6 25 3" xfId="1243"/>
    <cellStyle name="20% - 강조색6 25_Sheet1" xfId="1244"/>
    <cellStyle name="20% - 강조색6 26" xfId="1245"/>
    <cellStyle name="20% - 강조색6 26 2" xfId="1246"/>
    <cellStyle name="20% - 강조색6 26 3" xfId="1247"/>
    <cellStyle name="20% - 강조색6 26_Sheet1" xfId="1248"/>
    <cellStyle name="20% - 강조색6 27" xfId="1249"/>
    <cellStyle name="20% - 강조색6 27 2" xfId="1250"/>
    <cellStyle name="20% - 강조색6 27 3" xfId="1251"/>
    <cellStyle name="20% - 강조색6 27_Sheet1" xfId="1252"/>
    <cellStyle name="20% - 강조색6 28" xfId="1253"/>
    <cellStyle name="20% - 강조색6 28 2" xfId="1254"/>
    <cellStyle name="20% - 강조색6 28 3" xfId="1255"/>
    <cellStyle name="20% - 강조색6 28_Sheet1" xfId="1256"/>
    <cellStyle name="20% - 강조색6 29" xfId="1257"/>
    <cellStyle name="20% - 강조색6 29 2" xfId="1258"/>
    <cellStyle name="20% - 강조색6 29 3" xfId="1259"/>
    <cellStyle name="20% - 강조색6 29_Sheet1" xfId="1260"/>
    <cellStyle name="20% - 강조색6 3" xfId="1261"/>
    <cellStyle name="20% - 강조색6 30" xfId="1262"/>
    <cellStyle name="20% - 강조색6 30 2" xfId="1263"/>
    <cellStyle name="20% - 강조색6 30 3" xfId="1264"/>
    <cellStyle name="20% - 강조색6 30_Sheet1" xfId="1265"/>
    <cellStyle name="20% - 강조색6 31" xfId="1266"/>
    <cellStyle name="20% - 강조색6 31 2" xfId="1267"/>
    <cellStyle name="20% - 강조색6 31 3" xfId="1268"/>
    <cellStyle name="20% - 강조색6 31_Sheet1" xfId="1269"/>
    <cellStyle name="20% - 강조색6 32" xfId="1270"/>
    <cellStyle name="20% - 강조색6 32 2" xfId="1271"/>
    <cellStyle name="20% - 강조색6 32 3" xfId="1272"/>
    <cellStyle name="20% - 강조색6 32_Sheet1" xfId="1273"/>
    <cellStyle name="20% - 강조색6 33" xfId="1274"/>
    <cellStyle name="20% - 강조색6 33 2" xfId="1275"/>
    <cellStyle name="20% - 강조색6 33 3" xfId="1276"/>
    <cellStyle name="20% - 강조색6 33_Sheet1" xfId="1277"/>
    <cellStyle name="20% - 강조색6 34" xfId="1278"/>
    <cellStyle name="20% - 강조색6 34 2" xfId="1279"/>
    <cellStyle name="20% - 강조색6 34 3" xfId="1280"/>
    <cellStyle name="20% - 강조색6 34_Sheet1" xfId="1281"/>
    <cellStyle name="20% - 강조색6 35" xfId="1282"/>
    <cellStyle name="20% - 강조색6 35 2" xfId="1283"/>
    <cellStyle name="20% - 강조색6 35 3" xfId="1284"/>
    <cellStyle name="20% - 강조색6 35_Sheet1" xfId="1285"/>
    <cellStyle name="20% - 강조색6 36" xfId="1286"/>
    <cellStyle name="20% - 강조색6 36 2" xfId="1287"/>
    <cellStyle name="20% - 강조색6 36 3" xfId="1288"/>
    <cellStyle name="20% - 강조색6 36_Sheet1" xfId="1289"/>
    <cellStyle name="20% - 강조색6 37" xfId="1290"/>
    <cellStyle name="20% - 강조색6 37 2" xfId="1291"/>
    <cellStyle name="20% - 강조색6 37 3" xfId="1292"/>
    <cellStyle name="20% - 강조색6 37_Sheet1" xfId="1293"/>
    <cellStyle name="20% - 강조색6 38" xfId="1294"/>
    <cellStyle name="20% - 강조색6 38 2" xfId="1295"/>
    <cellStyle name="20% - 강조색6 38 3" xfId="1296"/>
    <cellStyle name="20% - 강조색6 38_Sheet1" xfId="1297"/>
    <cellStyle name="20% - 강조색6 39" xfId="1298"/>
    <cellStyle name="20% - 강조색6 39 2" xfId="1299"/>
    <cellStyle name="20% - 강조색6 39 3" xfId="1300"/>
    <cellStyle name="20% - 강조색6 39_Sheet1" xfId="1301"/>
    <cellStyle name="20% - 강조색6 4" xfId="1302"/>
    <cellStyle name="20% - 강조색6 40" xfId="1303"/>
    <cellStyle name="20% - 강조색6 40 2" xfId="1304"/>
    <cellStyle name="20% - 강조색6 40 3" xfId="1305"/>
    <cellStyle name="20% - 강조색6 40_Sheet1" xfId="1306"/>
    <cellStyle name="20% - 강조색6 41" xfId="1307"/>
    <cellStyle name="20% - 강조색6 41 2" xfId="1308"/>
    <cellStyle name="20% - 강조색6 41 3" xfId="1309"/>
    <cellStyle name="20% - 강조색6 41_Sheet1" xfId="1310"/>
    <cellStyle name="20% - 강조색6 42" xfId="1311"/>
    <cellStyle name="20% - 강조색6 42 2" xfId="1312"/>
    <cellStyle name="20% - 강조색6 42 3" xfId="1313"/>
    <cellStyle name="20% - 강조색6 42_Sheet1" xfId="1314"/>
    <cellStyle name="20% - 강조색6 43" xfId="1315"/>
    <cellStyle name="20% - 강조색6 43 2" xfId="1316"/>
    <cellStyle name="20% - 강조색6 43 3" xfId="1317"/>
    <cellStyle name="20% - 강조색6 43_Sheet1" xfId="1318"/>
    <cellStyle name="20% - 강조색6 44" xfId="1319"/>
    <cellStyle name="20% - 강조색6 44 2" xfId="1320"/>
    <cellStyle name="20% - 강조색6 44 3" xfId="1321"/>
    <cellStyle name="20% - 강조색6 44_Sheet1" xfId="1322"/>
    <cellStyle name="20% - 강조색6 45" xfId="1323"/>
    <cellStyle name="20% - 강조색6 45 2" xfId="1324"/>
    <cellStyle name="20% - 강조색6 45 3" xfId="1325"/>
    <cellStyle name="20% - 강조색6 45_Sheet1" xfId="1326"/>
    <cellStyle name="20% - 강조색6 46" xfId="1327"/>
    <cellStyle name="20% - 강조색6 47" xfId="1328"/>
    <cellStyle name="20% - 강조색6 48" xfId="1329"/>
    <cellStyle name="20% - 강조색6 49" xfId="1330"/>
    <cellStyle name="20% - 강조색6 5" xfId="1331"/>
    <cellStyle name="20% - 강조색6 5 2" xfId="1332"/>
    <cellStyle name="20% - 강조색6 5 3" xfId="1333"/>
    <cellStyle name="20% - 강조색6 5_Sheet1" xfId="1334"/>
    <cellStyle name="20% - 강조색6 50" xfId="1335"/>
    <cellStyle name="20% - 강조색6 51" xfId="1336"/>
    <cellStyle name="20% - 강조색6 52" xfId="1337"/>
    <cellStyle name="20% - 강조색6 53" xfId="1338"/>
    <cellStyle name="20% - 강조색6 54" xfId="1339"/>
    <cellStyle name="20% - 강조색6 55" xfId="1340"/>
    <cellStyle name="20% - 강조색6 56" xfId="1341"/>
    <cellStyle name="20% - 강조색6 57" xfId="1342"/>
    <cellStyle name="20% - 강조색6 58" xfId="1343"/>
    <cellStyle name="20% - 강조색6 59" xfId="1344"/>
    <cellStyle name="20% - 강조색6 6" xfId="1345"/>
    <cellStyle name="20% - 강조색6 6 2" xfId="1346"/>
    <cellStyle name="20% - 강조색6 6 3" xfId="1347"/>
    <cellStyle name="20% - 강조색6 6_Sheet1" xfId="1348"/>
    <cellStyle name="20% - 강조색6 60" xfId="1349"/>
    <cellStyle name="20% - 강조색6 61" xfId="1350"/>
    <cellStyle name="20% - 강조색6 62" xfId="1351"/>
    <cellStyle name="20% - 강조색6 63" xfId="1352"/>
    <cellStyle name="20% - 강조색6 64" xfId="1353"/>
    <cellStyle name="20% - 강조색6 65" xfId="1354"/>
    <cellStyle name="20% - 강조색6 66" xfId="1355"/>
    <cellStyle name="20% - 강조색6 67" xfId="1356"/>
    <cellStyle name="20% - 강조색6 68" xfId="1357"/>
    <cellStyle name="20% - 강조색6 69" xfId="1358"/>
    <cellStyle name="20% - 강조색6 7" xfId="1359"/>
    <cellStyle name="20% - 강조색6 7 2" xfId="1360"/>
    <cellStyle name="20% - 강조색6 7 3" xfId="1361"/>
    <cellStyle name="20% - 강조색6 7_Sheet1" xfId="1362"/>
    <cellStyle name="20% - 강조색6 70" xfId="1363"/>
    <cellStyle name="20% - 강조색6 71" xfId="1364"/>
    <cellStyle name="20% - 강조색6 72" xfId="1365"/>
    <cellStyle name="20% - 강조색6 73" xfId="1366"/>
    <cellStyle name="20% - 강조색6 74" xfId="1367"/>
    <cellStyle name="20% - 강조색6 75" xfId="1368"/>
    <cellStyle name="20% - 강조색6 76" xfId="1369"/>
    <cellStyle name="20% - 강조색6 77" xfId="1370"/>
    <cellStyle name="20% - 강조색6 78" xfId="1371"/>
    <cellStyle name="20% - 강조색6 79" xfId="1372"/>
    <cellStyle name="20% - 강조색6 8" xfId="1373"/>
    <cellStyle name="20% - 강조색6 8 2" xfId="1374"/>
    <cellStyle name="20% - 강조색6 8 3" xfId="1375"/>
    <cellStyle name="20% - 강조색6 8_Sheet1" xfId="1376"/>
    <cellStyle name="20% - 강조색6 80" xfId="1377"/>
    <cellStyle name="20% - 강조색6 81" xfId="1378"/>
    <cellStyle name="20% - 강조색6 82" xfId="1379"/>
    <cellStyle name="20% - 강조색6 83" xfId="1380"/>
    <cellStyle name="20% - 강조색6 84" xfId="1381"/>
    <cellStyle name="20% - 강조색6 85" xfId="1382"/>
    <cellStyle name="20% - 강조색6 86" xfId="1383"/>
    <cellStyle name="20% - 강조색6 87" xfId="1384"/>
    <cellStyle name="20% - 강조색6 88" xfId="1385"/>
    <cellStyle name="20% - 강조색6 89" xfId="1386"/>
    <cellStyle name="20% - 강조색6 9" xfId="1387"/>
    <cellStyle name="20% - 강조색6 9 2" xfId="1388"/>
    <cellStyle name="20% - 강조색6 9 3" xfId="1389"/>
    <cellStyle name="20% - 강조색6 9_Sheet1" xfId="1390"/>
    <cellStyle name="20% - 강조색6 90" xfId="1391"/>
    <cellStyle name="20% - 강조색6 91" xfId="1392"/>
    <cellStyle name="20% - 강조색6 92" xfId="1393"/>
    <cellStyle name="20% - 강조색6 93" xfId="1394"/>
    <cellStyle name="20% - 강조색6 94" xfId="1395"/>
    <cellStyle name="20% - 강조색6 95" xfId="1396"/>
    <cellStyle name="20% - 강조색6 96" xfId="1397"/>
    <cellStyle name="20% - 강조색6 97" xfId="1398"/>
    <cellStyle name="20% - 강조색6 98" xfId="1399"/>
    <cellStyle name="20% - 강조색6 99" xfId="1400"/>
    <cellStyle name="40% - 강조색1 10" xfId="1401"/>
    <cellStyle name="40% - 강조색1 10 2" xfId="1402"/>
    <cellStyle name="40% - 강조색1 10 3" xfId="1403"/>
    <cellStyle name="40% - 강조색1 10_Sheet1" xfId="1404"/>
    <cellStyle name="40% - 강조색1 100" xfId="1405"/>
    <cellStyle name="40% - 강조색1 101" xfId="1406"/>
    <cellStyle name="40% - 강조색1 102" xfId="1407"/>
    <cellStyle name="40% - 강조색1 103" xfId="1408"/>
    <cellStyle name="40% - 강조색1 104" xfId="1409"/>
    <cellStyle name="40% - 강조색1 105" xfId="1410"/>
    <cellStyle name="40% - 강조색1 106" xfId="1411"/>
    <cellStyle name="40% - 강조색1 107" xfId="1412"/>
    <cellStyle name="40% - 강조색1 108" xfId="1413"/>
    <cellStyle name="40% - 강조색1 109" xfId="1414"/>
    <cellStyle name="40% - 강조색1 11" xfId="1415"/>
    <cellStyle name="40% - 강조색1 11 2" xfId="1416"/>
    <cellStyle name="40% - 강조색1 11 3" xfId="1417"/>
    <cellStyle name="40% - 강조색1 11_Sheet1" xfId="1418"/>
    <cellStyle name="40% - 강조색1 110" xfId="1419"/>
    <cellStyle name="40% - 강조색1 111" xfId="1420"/>
    <cellStyle name="40% - 강조색1 12" xfId="1421"/>
    <cellStyle name="40% - 강조색1 12 2" xfId="1422"/>
    <cellStyle name="40% - 강조색1 12 3" xfId="1423"/>
    <cellStyle name="40% - 강조색1 12_Sheet1" xfId="1424"/>
    <cellStyle name="40% - 강조색1 13" xfId="1425"/>
    <cellStyle name="40% - 강조색1 13 2" xfId="1426"/>
    <cellStyle name="40% - 강조색1 13 3" xfId="1427"/>
    <cellStyle name="40% - 강조색1 13_Sheet1" xfId="1428"/>
    <cellStyle name="40% - 강조색1 14" xfId="1429"/>
    <cellStyle name="40% - 강조색1 14 2" xfId="1430"/>
    <cellStyle name="40% - 강조색1 14 3" xfId="1431"/>
    <cellStyle name="40% - 강조색1 14_Sheet1" xfId="1432"/>
    <cellStyle name="40% - 강조색1 15" xfId="1433"/>
    <cellStyle name="40% - 강조색1 15 2" xfId="1434"/>
    <cellStyle name="40% - 강조색1 15 3" xfId="1435"/>
    <cellStyle name="40% - 강조색1 15_Sheet1" xfId="1436"/>
    <cellStyle name="40% - 강조색1 16" xfId="1437"/>
    <cellStyle name="40% - 강조색1 16 2" xfId="1438"/>
    <cellStyle name="40% - 강조색1 16 3" xfId="1439"/>
    <cellStyle name="40% - 강조색1 16_Sheet1" xfId="1440"/>
    <cellStyle name="40% - 강조색1 17" xfId="1441"/>
    <cellStyle name="40% - 강조색1 17 2" xfId="1442"/>
    <cellStyle name="40% - 강조색1 17 3" xfId="1443"/>
    <cellStyle name="40% - 강조색1 17_Sheet1" xfId="1444"/>
    <cellStyle name="40% - 강조색1 18" xfId="1445"/>
    <cellStyle name="40% - 강조색1 18 2" xfId="1446"/>
    <cellStyle name="40% - 강조색1 18 3" xfId="1447"/>
    <cellStyle name="40% - 강조색1 18_Sheet1" xfId="1448"/>
    <cellStyle name="40% - 강조색1 19" xfId="1449"/>
    <cellStyle name="40% - 강조색1 19 2" xfId="1450"/>
    <cellStyle name="40% - 강조색1 19 3" xfId="1451"/>
    <cellStyle name="40% - 강조색1 19_Sheet1" xfId="1452"/>
    <cellStyle name="40% - 강조색1 2" xfId="1453"/>
    <cellStyle name="40% - 강조색1 20" xfId="1454"/>
    <cellStyle name="40% - 강조색1 20 2" xfId="1455"/>
    <cellStyle name="40% - 강조색1 20 3" xfId="1456"/>
    <cellStyle name="40% - 강조색1 20_Sheet1" xfId="1457"/>
    <cellStyle name="40% - 강조색1 21" xfId="1458"/>
    <cellStyle name="40% - 강조색1 21 2" xfId="1459"/>
    <cellStyle name="40% - 강조색1 21 3" xfId="1460"/>
    <cellStyle name="40% - 강조색1 21_Sheet1" xfId="1461"/>
    <cellStyle name="40% - 강조색1 22" xfId="1462"/>
    <cellStyle name="40% - 강조색1 22 2" xfId="1463"/>
    <cellStyle name="40% - 강조색1 22 3" xfId="1464"/>
    <cellStyle name="40% - 강조색1 22_Sheet1" xfId="1465"/>
    <cellStyle name="40% - 강조색1 23" xfId="1466"/>
    <cellStyle name="40% - 강조색1 23 2" xfId="1467"/>
    <cellStyle name="40% - 강조색1 23 3" xfId="1468"/>
    <cellStyle name="40% - 강조색1 23_Sheet1" xfId="1469"/>
    <cellStyle name="40% - 강조색1 24" xfId="1470"/>
    <cellStyle name="40% - 강조색1 24 2" xfId="1471"/>
    <cellStyle name="40% - 강조색1 24 3" xfId="1472"/>
    <cellStyle name="40% - 강조색1 24_Sheet1" xfId="1473"/>
    <cellStyle name="40% - 강조색1 25" xfId="1474"/>
    <cellStyle name="40% - 강조색1 25 2" xfId="1475"/>
    <cellStyle name="40% - 강조색1 25 3" xfId="1476"/>
    <cellStyle name="40% - 강조색1 25_Sheet1" xfId="1477"/>
    <cellStyle name="40% - 강조색1 26" xfId="1478"/>
    <cellStyle name="40% - 강조색1 26 2" xfId="1479"/>
    <cellStyle name="40% - 강조색1 26 3" xfId="1480"/>
    <cellStyle name="40% - 강조색1 26_Sheet1" xfId="1481"/>
    <cellStyle name="40% - 강조색1 27" xfId="1482"/>
    <cellStyle name="40% - 강조색1 27 2" xfId="1483"/>
    <cellStyle name="40% - 강조색1 27 3" xfId="1484"/>
    <cellStyle name="40% - 강조색1 27_Sheet1" xfId="1485"/>
    <cellStyle name="40% - 강조색1 28" xfId="1486"/>
    <cellStyle name="40% - 강조색1 28 2" xfId="1487"/>
    <cellStyle name="40% - 강조색1 28 3" xfId="1488"/>
    <cellStyle name="40% - 강조색1 28_Sheet1" xfId="1489"/>
    <cellStyle name="40% - 강조색1 29" xfId="1490"/>
    <cellStyle name="40% - 강조색1 29 2" xfId="1491"/>
    <cellStyle name="40% - 강조색1 29 3" xfId="1492"/>
    <cellStyle name="40% - 강조색1 29_Sheet1" xfId="1493"/>
    <cellStyle name="40% - 강조색1 3" xfId="1494"/>
    <cellStyle name="40% - 강조색1 30" xfId="1495"/>
    <cellStyle name="40% - 강조색1 30 2" xfId="1496"/>
    <cellStyle name="40% - 강조색1 30 3" xfId="1497"/>
    <cellStyle name="40% - 강조색1 30_Sheet1" xfId="1498"/>
    <cellStyle name="40% - 강조색1 31" xfId="1499"/>
    <cellStyle name="40% - 강조색1 31 2" xfId="1500"/>
    <cellStyle name="40% - 강조색1 31 3" xfId="1501"/>
    <cellStyle name="40% - 강조색1 31_Sheet1" xfId="1502"/>
    <cellStyle name="40% - 강조색1 32" xfId="1503"/>
    <cellStyle name="40% - 강조색1 32 2" xfId="1504"/>
    <cellStyle name="40% - 강조색1 32 3" xfId="1505"/>
    <cellStyle name="40% - 강조색1 32_Sheet1" xfId="1506"/>
    <cellStyle name="40% - 강조색1 33" xfId="1507"/>
    <cellStyle name="40% - 강조색1 33 2" xfId="1508"/>
    <cellStyle name="40% - 강조색1 33 3" xfId="1509"/>
    <cellStyle name="40% - 강조색1 33_Sheet1" xfId="1510"/>
    <cellStyle name="40% - 강조색1 34" xfId="1511"/>
    <cellStyle name="40% - 강조색1 34 2" xfId="1512"/>
    <cellStyle name="40% - 강조색1 34 3" xfId="1513"/>
    <cellStyle name="40% - 강조색1 34_Sheet1" xfId="1514"/>
    <cellStyle name="40% - 강조색1 35" xfId="1515"/>
    <cellStyle name="40% - 강조색1 35 2" xfId="1516"/>
    <cellStyle name="40% - 강조색1 35 3" xfId="1517"/>
    <cellStyle name="40% - 강조색1 35_Sheet1" xfId="1518"/>
    <cellStyle name="40% - 강조색1 36" xfId="1519"/>
    <cellStyle name="40% - 강조색1 36 2" xfId="1520"/>
    <cellStyle name="40% - 강조색1 36 3" xfId="1521"/>
    <cellStyle name="40% - 강조색1 36_Sheet1" xfId="1522"/>
    <cellStyle name="40% - 강조색1 37" xfId="1523"/>
    <cellStyle name="40% - 강조색1 37 2" xfId="1524"/>
    <cellStyle name="40% - 강조색1 37 3" xfId="1525"/>
    <cellStyle name="40% - 강조색1 37_Sheet1" xfId="1526"/>
    <cellStyle name="40% - 강조색1 38" xfId="1527"/>
    <cellStyle name="40% - 강조색1 38 2" xfId="1528"/>
    <cellStyle name="40% - 강조색1 38 3" xfId="1529"/>
    <cellStyle name="40% - 강조색1 38_Sheet1" xfId="1530"/>
    <cellStyle name="40% - 강조색1 39" xfId="1531"/>
    <cellStyle name="40% - 강조색1 39 2" xfId="1532"/>
    <cellStyle name="40% - 강조색1 39 3" xfId="1533"/>
    <cellStyle name="40% - 강조색1 39_Sheet1" xfId="1534"/>
    <cellStyle name="40% - 강조색1 4" xfId="1535"/>
    <cellStyle name="40% - 강조색1 40" xfId="1536"/>
    <cellStyle name="40% - 강조색1 40 2" xfId="1537"/>
    <cellStyle name="40% - 강조색1 40 3" xfId="1538"/>
    <cellStyle name="40% - 강조색1 40_Sheet1" xfId="1539"/>
    <cellStyle name="40% - 강조색1 41" xfId="1540"/>
    <cellStyle name="40% - 강조색1 41 2" xfId="1541"/>
    <cellStyle name="40% - 강조색1 41 3" xfId="1542"/>
    <cellStyle name="40% - 강조색1 41_Sheet1" xfId="1543"/>
    <cellStyle name="40% - 강조색1 42" xfId="1544"/>
    <cellStyle name="40% - 강조색1 42 2" xfId="1545"/>
    <cellStyle name="40% - 강조색1 42 3" xfId="1546"/>
    <cellStyle name="40% - 강조색1 42_Sheet1" xfId="1547"/>
    <cellStyle name="40% - 강조색1 43" xfId="1548"/>
    <cellStyle name="40% - 강조색1 43 2" xfId="1549"/>
    <cellStyle name="40% - 강조색1 43 3" xfId="1550"/>
    <cellStyle name="40% - 강조색1 43_Sheet1" xfId="1551"/>
    <cellStyle name="40% - 강조색1 44" xfId="1552"/>
    <cellStyle name="40% - 강조색1 44 2" xfId="1553"/>
    <cellStyle name="40% - 강조색1 44 3" xfId="1554"/>
    <cellStyle name="40% - 강조색1 44_Sheet1" xfId="1555"/>
    <cellStyle name="40% - 강조색1 45" xfId="1556"/>
    <cellStyle name="40% - 강조색1 45 2" xfId="1557"/>
    <cellStyle name="40% - 강조색1 45 3" xfId="1558"/>
    <cellStyle name="40% - 강조색1 45_Sheet1" xfId="1559"/>
    <cellStyle name="40% - 강조색1 46" xfId="1560"/>
    <cellStyle name="40% - 강조색1 47" xfId="1561"/>
    <cellStyle name="40% - 강조색1 48" xfId="1562"/>
    <cellStyle name="40% - 강조색1 49" xfId="1563"/>
    <cellStyle name="40% - 강조색1 5" xfId="1564"/>
    <cellStyle name="40% - 강조색1 5 2" xfId="1565"/>
    <cellStyle name="40% - 강조색1 5 3" xfId="1566"/>
    <cellStyle name="40% - 강조색1 5_Sheet1" xfId="1567"/>
    <cellStyle name="40% - 강조색1 50" xfId="1568"/>
    <cellStyle name="40% - 강조색1 51" xfId="1569"/>
    <cellStyle name="40% - 강조색1 52" xfId="1570"/>
    <cellStyle name="40% - 강조색1 53" xfId="1571"/>
    <cellStyle name="40% - 강조색1 54" xfId="1572"/>
    <cellStyle name="40% - 강조색1 55" xfId="1573"/>
    <cellStyle name="40% - 강조색1 56" xfId="1574"/>
    <cellStyle name="40% - 강조색1 57" xfId="1575"/>
    <cellStyle name="40% - 강조색1 58" xfId="1576"/>
    <cellStyle name="40% - 강조색1 59" xfId="1577"/>
    <cellStyle name="40% - 강조색1 6" xfId="1578"/>
    <cellStyle name="40% - 강조색1 6 2" xfId="1579"/>
    <cellStyle name="40% - 강조색1 6 3" xfId="1580"/>
    <cellStyle name="40% - 강조색1 6_Sheet1" xfId="1581"/>
    <cellStyle name="40% - 강조색1 60" xfId="1582"/>
    <cellStyle name="40% - 강조색1 61" xfId="1583"/>
    <cellStyle name="40% - 강조색1 62" xfId="1584"/>
    <cellStyle name="40% - 강조색1 63" xfId="1585"/>
    <cellStyle name="40% - 강조색1 64" xfId="1586"/>
    <cellStyle name="40% - 강조색1 65" xfId="1587"/>
    <cellStyle name="40% - 강조색1 66" xfId="1588"/>
    <cellStyle name="40% - 강조색1 67" xfId="1589"/>
    <cellStyle name="40% - 강조색1 68" xfId="1590"/>
    <cellStyle name="40% - 강조색1 69" xfId="1591"/>
    <cellStyle name="40% - 강조색1 7" xfId="1592"/>
    <cellStyle name="40% - 강조색1 7 2" xfId="1593"/>
    <cellStyle name="40% - 강조색1 7 3" xfId="1594"/>
    <cellStyle name="40% - 강조색1 7_Sheet1" xfId="1595"/>
    <cellStyle name="40% - 강조색1 70" xfId="1596"/>
    <cellStyle name="40% - 강조색1 71" xfId="1597"/>
    <cellStyle name="40% - 강조색1 72" xfId="1598"/>
    <cellStyle name="40% - 강조색1 73" xfId="1599"/>
    <cellStyle name="40% - 강조색1 74" xfId="1600"/>
    <cellStyle name="40% - 강조색1 75" xfId="1601"/>
    <cellStyle name="40% - 강조색1 76" xfId="1602"/>
    <cellStyle name="40% - 강조색1 77" xfId="1603"/>
    <cellStyle name="40% - 강조색1 78" xfId="1604"/>
    <cellStyle name="40% - 강조색1 79" xfId="1605"/>
    <cellStyle name="40% - 강조색1 8" xfId="1606"/>
    <cellStyle name="40% - 강조색1 8 2" xfId="1607"/>
    <cellStyle name="40% - 강조색1 8 3" xfId="1608"/>
    <cellStyle name="40% - 강조색1 8_Sheet1" xfId="1609"/>
    <cellStyle name="40% - 강조색1 80" xfId="1610"/>
    <cellStyle name="40% - 강조색1 81" xfId="1611"/>
    <cellStyle name="40% - 강조색1 82" xfId="1612"/>
    <cellStyle name="40% - 강조색1 83" xfId="1613"/>
    <cellStyle name="40% - 강조색1 84" xfId="1614"/>
    <cellStyle name="40% - 강조색1 85" xfId="1615"/>
    <cellStyle name="40% - 강조색1 86" xfId="1616"/>
    <cellStyle name="40% - 강조색1 87" xfId="1617"/>
    <cellStyle name="40% - 강조색1 88" xfId="1618"/>
    <cellStyle name="40% - 강조색1 89" xfId="1619"/>
    <cellStyle name="40% - 강조색1 9" xfId="1620"/>
    <cellStyle name="40% - 강조색1 9 2" xfId="1621"/>
    <cellStyle name="40% - 강조색1 9 3" xfId="1622"/>
    <cellStyle name="40% - 강조색1 9_Sheet1" xfId="1623"/>
    <cellStyle name="40% - 강조색1 90" xfId="1624"/>
    <cellStyle name="40% - 강조색1 91" xfId="1625"/>
    <cellStyle name="40% - 강조색1 92" xfId="1626"/>
    <cellStyle name="40% - 강조색1 93" xfId="1627"/>
    <cellStyle name="40% - 강조색1 94" xfId="1628"/>
    <cellStyle name="40% - 강조색1 95" xfId="1629"/>
    <cellStyle name="40% - 강조색1 96" xfId="1630"/>
    <cellStyle name="40% - 강조색1 97" xfId="1631"/>
    <cellStyle name="40% - 강조색1 98" xfId="1632"/>
    <cellStyle name="40% - 강조색1 99" xfId="1633"/>
    <cellStyle name="40% - 강조색2 10" xfId="1634"/>
    <cellStyle name="40% - 강조색2 10 2" xfId="1635"/>
    <cellStyle name="40% - 강조색2 10 3" xfId="1636"/>
    <cellStyle name="40% - 강조색2 10_Sheet1" xfId="1637"/>
    <cellStyle name="40% - 강조색2 100" xfId="1638"/>
    <cellStyle name="40% - 강조색2 101" xfId="1639"/>
    <cellStyle name="40% - 강조색2 102" xfId="1640"/>
    <cellStyle name="40% - 강조색2 103" xfId="1641"/>
    <cellStyle name="40% - 강조색2 104" xfId="1642"/>
    <cellStyle name="40% - 강조색2 105" xfId="1643"/>
    <cellStyle name="40% - 강조색2 106" xfId="1644"/>
    <cellStyle name="40% - 강조색2 107" xfId="1645"/>
    <cellStyle name="40% - 강조색2 108" xfId="1646"/>
    <cellStyle name="40% - 강조색2 109" xfId="1647"/>
    <cellStyle name="40% - 강조색2 11" xfId="1648"/>
    <cellStyle name="40% - 강조색2 11 2" xfId="1649"/>
    <cellStyle name="40% - 강조색2 11 3" xfId="1650"/>
    <cellStyle name="40% - 강조색2 11_Sheet1" xfId="1651"/>
    <cellStyle name="40% - 강조색2 110" xfId="1652"/>
    <cellStyle name="40% - 강조색2 111" xfId="1653"/>
    <cellStyle name="40% - 강조색2 12" xfId="1654"/>
    <cellStyle name="40% - 강조색2 12 2" xfId="1655"/>
    <cellStyle name="40% - 강조색2 12 3" xfId="1656"/>
    <cellStyle name="40% - 강조색2 12_Sheet1" xfId="1657"/>
    <cellStyle name="40% - 강조색2 13" xfId="1658"/>
    <cellStyle name="40% - 강조색2 13 2" xfId="1659"/>
    <cellStyle name="40% - 강조색2 13 3" xfId="1660"/>
    <cellStyle name="40% - 강조색2 13_Sheet1" xfId="1661"/>
    <cellStyle name="40% - 강조색2 14" xfId="1662"/>
    <cellStyle name="40% - 강조색2 14 2" xfId="1663"/>
    <cellStyle name="40% - 강조색2 14 3" xfId="1664"/>
    <cellStyle name="40% - 강조색2 14_Sheet1" xfId="1665"/>
    <cellStyle name="40% - 강조색2 15" xfId="1666"/>
    <cellStyle name="40% - 강조색2 15 2" xfId="1667"/>
    <cellStyle name="40% - 강조색2 15 3" xfId="1668"/>
    <cellStyle name="40% - 강조색2 15_Sheet1" xfId="1669"/>
    <cellStyle name="40% - 강조색2 16" xfId="1670"/>
    <cellStyle name="40% - 강조색2 16 2" xfId="1671"/>
    <cellStyle name="40% - 강조색2 16 3" xfId="1672"/>
    <cellStyle name="40% - 강조색2 16_Sheet1" xfId="1673"/>
    <cellStyle name="40% - 강조색2 17" xfId="1674"/>
    <cellStyle name="40% - 강조색2 17 2" xfId="1675"/>
    <cellStyle name="40% - 강조색2 17 3" xfId="1676"/>
    <cellStyle name="40% - 강조색2 17_Sheet1" xfId="1677"/>
    <cellStyle name="40% - 강조색2 18" xfId="1678"/>
    <cellStyle name="40% - 강조색2 18 2" xfId="1679"/>
    <cellStyle name="40% - 강조색2 18 3" xfId="1680"/>
    <cellStyle name="40% - 강조색2 18_Sheet1" xfId="1681"/>
    <cellStyle name="40% - 강조색2 19" xfId="1682"/>
    <cellStyle name="40% - 강조색2 19 2" xfId="1683"/>
    <cellStyle name="40% - 강조색2 19 3" xfId="1684"/>
    <cellStyle name="40% - 강조색2 19_Sheet1" xfId="1685"/>
    <cellStyle name="40% - 강조색2 2" xfId="1686"/>
    <cellStyle name="40% - 강조색2 20" xfId="1687"/>
    <cellStyle name="40% - 강조색2 20 2" xfId="1688"/>
    <cellStyle name="40% - 강조색2 20 3" xfId="1689"/>
    <cellStyle name="40% - 강조색2 20_Sheet1" xfId="1690"/>
    <cellStyle name="40% - 강조색2 21" xfId="1691"/>
    <cellStyle name="40% - 강조색2 21 2" xfId="1692"/>
    <cellStyle name="40% - 강조색2 21 3" xfId="1693"/>
    <cellStyle name="40% - 강조색2 21_Sheet1" xfId="1694"/>
    <cellStyle name="40% - 강조색2 22" xfId="1695"/>
    <cellStyle name="40% - 강조색2 22 2" xfId="1696"/>
    <cellStyle name="40% - 강조색2 22 3" xfId="1697"/>
    <cellStyle name="40% - 강조색2 22_Sheet1" xfId="1698"/>
    <cellStyle name="40% - 강조색2 23" xfId="1699"/>
    <cellStyle name="40% - 강조색2 23 2" xfId="1700"/>
    <cellStyle name="40% - 강조색2 23 3" xfId="1701"/>
    <cellStyle name="40% - 강조색2 23_Sheet1" xfId="1702"/>
    <cellStyle name="40% - 강조색2 24" xfId="1703"/>
    <cellStyle name="40% - 강조색2 24 2" xfId="1704"/>
    <cellStyle name="40% - 강조색2 24 3" xfId="1705"/>
    <cellStyle name="40% - 강조색2 24_Sheet1" xfId="1706"/>
    <cellStyle name="40% - 강조색2 25" xfId="1707"/>
    <cellStyle name="40% - 강조색2 25 2" xfId="1708"/>
    <cellStyle name="40% - 강조색2 25 3" xfId="1709"/>
    <cellStyle name="40% - 강조색2 25_Sheet1" xfId="1710"/>
    <cellStyle name="40% - 강조색2 26" xfId="1711"/>
    <cellStyle name="40% - 강조색2 26 2" xfId="1712"/>
    <cellStyle name="40% - 강조색2 26 3" xfId="1713"/>
    <cellStyle name="40% - 강조색2 26_Sheet1" xfId="1714"/>
    <cellStyle name="40% - 강조색2 27" xfId="1715"/>
    <cellStyle name="40% - 강조색2 27 2" xfId="1716"/>
    <cellStyle name="40% - 강조색2 27 3" xfId="1717"/>
    <cellStyle name="40% - 강조색2 27_Sheet1" xfId="1718"/>
    <cellStyle name="40% - 강조색2 28" xfId="1719"/>
    <cellStyle name="40% - 강조색2 28 2" xfId="1720"/>
    <cellStyle name="40% - 강조색2 28 3" xfId="1721"/>
    <cellStyle name="40% - 강조색2 28_Sheet1" xfId="1722"/>
    <cellStyle name="40% - 강조색2 29" xfId="1723"/>
    <cellStyle name="40% - 강조색2 29 2" xfId="1724"/>
    <cellStyle name="40% - 강조색2 29 3" xfId="1725"/>
    <cellStyle name="40% - 강조색2 29_Sheet1" xfId="1726"/>
    <cellStyle name="40% - 강조색2 3" xfId="1727"/>
    <cellStyle name="40% - 강조색2 30" xfId="1728"/>
    <cellStyle name="40% - 강조색2 30 2" xfId="1729"/>
    <cellStyle name="40% - 강조색2 30 3" xfId="1730"/>
    <cellStyle name="40% - 강조색2 30_Sheet1" xfId="1731"/>
    <cellStyle name="40% - 강조색2 31" xfId="1732"/>
    <cellStyle name="40% - 강조색2 31 2" xfId="1733"/>
    <cellStyle name="40% - 강조색2 31 3" xfId="1734"/>
    <cellStyle name="40% - 강조색2 31_Sheet1" xfId="1735"/>
    <cellStyle name="40% - 강조색2 32" xfId="1736"/>
    <cellStyle name="40% - 강조색2 32 2" xfId="1737"/>
    <cellStyle name="40% - 강조색2 32 3" xfId="1738"/>
    <cellStyle name="40% - 강조색2 32_Sheet1" xfId="1739"/>
    <cellStyle name="40% - 강조색2 33" xfId="1740"/>
    <cellStyle name="40% - 강조색2 33 2" xfId="1741"/>
    <cellStyle name="40% - 강조색2 33 3" xfId="1742"/>
    <cellStyle name="40% - 강조색2 33_Sheet1" xfId="1743"/>
    <cellStyle name="40% - 강조색2 34" xfId="1744"/>
    <cellStyle name="40% - 강조색2 34 2" xfId="1745"/>
    <cellStyle name="40% - 강조색2 34 3" xfId="1746"/>
    <cellStyle name="40% - 강조색2 34_Sheet1" xfId="1747"/>
    <cellStyle name="40% - 강조색2 35" xfId="1748"/>
    <cellStyle name="40% - 강조색2 35 2" xfId="1749"/>
    <cellStyle name="40% - 강조색2 35 3" xfId="1750"/>
    <cellStyle name="40% - 강조색2 35_Sheet1" xfId="1751"/>
    <cellStyle name="40% - 강조색2 36" xfId="1752"/>
    <cellStyle name="40% - 강조색2 36 2" xfId="1753"/>
    <cellStyle name="40% - 강조색2 36 3" xfId="1754"/>
    <cellStyle name="40% - 강조색2 36_Sheet1" xfId="1755"/>
    <cellStyle name="40% - 강조색2 37" xfId="1756"/>
    <cellStyle name="40% - 강조색2 37 2" xfId="1757"/>
    <cellStyle name="40% - 강조색2 37 3" xfId="1758"/>
    <cellStyle name="40% - 강조색2 37_Sheet1" xfId="1759"/>
    <cellStyle name="40% - 강조색2 38" xfId="1760"/>
    <cellStyle name="40% - 강조색2 38 2" xfId="1761"/>
    <cellStyle name="40% - 강조색2 38 3" xfId="1762"/>
    <cellStyle name="40% - 강조색2 38_Sheet1" xfId="1763"/>
    <cellStyle name="40% - 강조색2 39" xfId="1764"/>
    <cellStyle name="40% - 강조색2 39 2" xfId="1765"/>
    <cellStyle name="40% - 강조색2 39 3" xfId="1766"/>
    <cellStyle name="40% - 강조색2 39_Sheet1" xfId="1767"/>
    <cellStyle name="40% - 강조색2 4" xfId="1768"/>
    <cellStyle name="40% - 강조색2 40" xfId="1769"/>
    <cellStyle name="40% - 강조색2 40 2" xfId="1770"/>
    <cellStyle name="40% - 강조색2 40 3" xfId="1771"/>
    <cellStyle name="40% - 강조색2 40_Sheet1" xfId="1772"/>
    <cellStyle name="40% - 강조색2 41" xfId="1773"/>
    <cellStyle name="40% - 강조색2 41 2" xfId="1774"/>
    <cellStyle name="40% - 강조색2 41 3" xfId="1775"/>
    <cellStyle name="40% - 강조색2 41_Sheet1" xfId="1776"/>
    <cellStyle name="40% - 강조색2 42" xfId="1777"/>
    <cellStyle name="40% - 강조색2 42 2" xfId="1778"/>
    <cellStyle name="40% - 강조색2 42 3" xfId="1779"/>
    <cellStyle name="40% - 강조색2 42_Sheet1" xfId="1780"/>
    <cellStyle name="40% - 강조색2 43" xfId="1781"/>
    <cellStyle name="40% - 강조색2 43 2" xfId="1782"/>
    <cellStyle name="40% - 강조색2 43 3" xfId="1783"/>
    <cellStyle name="40% - 강조색2 43_Sheet1" xfId="1784"/>
    <cellStyle name="40% - 강조색2 44" xfId="1785"/>
    <cellStyle name="40% - 강조색2 44 2" xfId="1786"/>
    <cellStyle name="40% - 강조색2 44 3" xfId="1787"/>
    <cellStyle name="40% - 강조색2 44_Sheet1" xfId="1788"/>
    <cellStyle name="40% - 강조색2 45" xfId="1789"/>
    <cellStyle name="40% - 강조색2 45 2" xfId="1790"/>
    <cellStyle name="40% - 강조색2 45 3" xfId="1791"/>
    <cellStyle name="40% - 강조색2 45_Sheet1" xfId="1792"/>
    <cellStyle name="40% - 강조색2 46" xfId="1793"/>
    <cellStyle name="40% - 강조색2 47" xfId="1794"/>
    <cellStyle name="40% - 강조색2 48" xfId="1795"/>
    <cellStyle name="40% - 강조색2 49" xfId="1796"/>
    <cellStyle name="40% - 강조색2 5" xfId="1797"/>
    <cellStyle name="40% - 강조색2 5 2" xfId="1798"/>
    <cellStyle name="40% - 강조색2 5 3" xfId="1799"/>
    <cellStyle name="40% - 강조색2 5_Sheet1" xfId="1800"/>
    <cellStyle name="40% - 강조색2 50" xfId="1801"/>
    <cellStyle name="40% - 강조색2 51" xfId="1802"/>
    <cellStyle name="40% - 강조색2 52" xfId="1803"/>
    <cellStyle name="40% - 강조색2 53" xfId="1804"/>
    <cellStyle name="40% - 강조색2 54" xfId="1805"/>
    <cellStyle name="40% - 강조색2 55" xfId="1806"/>
    <cellStyle name="40% - 강조색2 56" xfId="1807"/>
    <cellStyle name="40% - 강조색2 57" xfId="1808"/>
    <cellStyle name="40% - 강조색2 58" xfId="1809"/>
    <cellStyle name="40% - 강조색2 59" xfId="1810"/>
    <cellStyle name="40% - 강조색2 6" xfId="1811"/>
    <cellStyle name="40% - 강조색2 6 2" xfId="1812"/>
    <cellStyle name="40% - 강조색2 6 3" xfId="1813"/>
    <cellStyle name="40% - 강조색2 6_Sheet1" xfId="1814"/>
    <cellStyle name="40% - 강조색2 60" xfId="1815"/>
    <cellStyle name="40% - 강조색2 61" xfId="1816"/>
    <cellStyle name="40% - 강조색2 62" xfId="1817"/>
    <cellStyle name="40% - 강조색2 63" xfId="1818"/>
    <cellStyle name="40% - 강조색2 64" xfId="1819"/>
    <cellStyle name="40% - 강조색2 65" xfId="1820"/>
    <cellStyle name="40% - 강조색2 66" xfId="1821"/>
    <cellStyle name="40% - 강조색2 67" xfId="1822"/>
    <cellStyle name="40% - 강조색2 68" xfId="1823"/>
    <cellStyle name="40% - 강조색2 69" xfId="1824"/>
    <cellStyle name="40% - 강조색2 7" xfId="1825"/>
    <cellStyle name="40% - 강조색2 7 2" xfId="1826"/>
    <cellStyle name="40% - 강조색2 7 3" xfId="1827"/>
    <cellStyle name="40% - 강조색2 7_Sheet1" xfId="1828"/>
    <cellStyle name="40% - 강조색2 70" xfId="1829"/>
    <cellStyle name="40% - 강조색2 71" xfId="1830"/>
    <cellStyle name="40% - 강조색2 72" xfId="1831"/>
    <cellStyle name="40% - 강조색2 73" xfId="1832"/>
    <cellStyle name="40% - 강조색2 74" xfId="1833"/>
    <cellStyle name="40% - 강조색2 75" xfId="1834"/>
    <cellStyle name="40% - 강조색2 76" xfId="1835"/>
    <cellStyle name="40% - 강조색2 77" xfId="1836"/>
    <cellStyle name="40% - 강조색2 78" xfId="1837"/>
    <cellStyle name="40% - 강조색2 79" xfId="1838"/>
    <cellStyle name="40% - 강조색2 8" xfId="1839"/>
    <cellStyle name="40% - 강조색2 8 2" xfId="1840"/>
    <cellStyle name="40% - 강조색2 8 3" xfId="1841"/>
    <cellStyle name="40% - 강조색2 8_Sheet1" xfId="1842"/>
    <cellStyle name="40% - 강조색2 80" xfId="1843"/>
    <cellStyle name="40% - 강조색2 81" xfId="1844"/>
    <cellStyle name="40% - 강조색2 82" xfId="1845"/>
    <cellStyle name="40% - 강조색2 83" xfId="1846"/>
    <cellStyle name="40% - 강조색2 84" xfId="1847"/>
    <cellStyle name="40% - 강조색2 85" xfId="1848"/>
    <cellStyle name="40% - 강조색2 86" xfId="1849"/>
    <cellStyle name="40% - 강조색2 87" xfId="1850"/>
    <cellStyle name="40% - 강조색2 88" xfId="1851"/>
    <cellStyle name="40% - 강조색2 89" xfId="1852"/>
    <cellStyle name="40% - 강조색2 9" xfId="1853"/>
    <cellStyle name="40% - 강조색2 9 2" xfId="1854"/>
    <cellStyle name="40% - 강조색2 9 3" xfId="1855"/>
    <cellStyle name="40% - 강조색2 9_Sheet1" xfId="1856"/>
    <cellStyle name="40% - 강조색2 90" xfId="1857"/>
    <cellStyle name="40% - 강조색2 91" xfId="1858"/>
    <cellStyle name="40% - 강조색2 92" xfId="1859"/>
    <cellStyle name="40% - 강조색2 93" xfId="1860"/>
    <cellStyle name="40% - 강조색2 94" xfId="1861"/>
    <cellStyle name="40% - 강조색2 95" xfId="1862"/>
    <cellStyle name="40% - 강조색2 96" xfId="1863"/>
    <cellStyle name="40% - 강조색2 97" xfId="1864"/>
    <cellStyle name="40% - 강조색2 98" xfId="1865"/>
    <cellStyle name="40% - 강조색2 99" xfId="1866"/>
    <cellStyle name="40% - 강조색3 10" xfId="1867"/>
    <cellStyle name="40% - 강조색3 10 2" xfId="1868"/>
    <cellStyle name="40% - 강조색3 10 3" xfId="1869"/>
    <cellStyle name="40% - 강조색3 10_Sheet1" xfId="1870"/>
    <cellStyle name="40% - 강조색3 100" xfId="1871"/>
    <cellStyle name="40% - 강조색3 101" xfId="1872"/>
    <cellStyle name="40% - 강조색3 102" xfId="1873"/>
    <cellStyle name="40% - 강조색3 103" xfId="1874"/>
    <cellStyle name="40% - 강조색3 104" xfId="1875"/>
    <cellStyle name="40% - 강조색3 105" xfId="1876"/>
    <cellStyle name="40% - 강조색3 106" xfId="1877"/>
    <cellStyle name="40% - 강조색3 107" xfId="1878"/>
    <cellStyle name="40% - 강조색3 108" xfId="1879"/>
    <cellStyle name="40% - 강조색3 109" xfId="1880"/>
    <cellStyle name="40% - 강조색3 11" xfId="1881"/>
    <cellStyle name="40% - 강조색3 11 2" xfId="1882"/>
    <cellStyle name="40% - 강조색3 11 3" xfId="1883"/>
    <cellStyle name="40% - 강조색3 11_Sheet1" xfId="1884"/>
    <cellStyle name="40% - 강조색3 110" xfId="1885"/>
    <cellStyle name="40% - 강조색3 111" xfId="1886"/>
    <cellStyle name="40% - 강조색3 12" xfId="1887"/>
    <cellStyle name="40% - 강조색3 12 2" xfId="1888"/>
    <cellStyle name="40% - 강조색3 12 3" xfId="1889"/>
    <cellStyle name="40% - 강조색3 12_Sheet1" xfId="1890"/>
    <cellStyle name="40% - 강조색3 13" xfId="1891"/>
    <cellStyle name="40% - 강조색3 13 2" xfId="1892"/>
    <cellStyle name="40% - 강조색3 13 3" xfId="1893"/>
    <cellStyle name="40% - 강조색3 13_Sheet1" xfId="1894"/>
    <cellStyle name="40% - 강조색3 14" xfId="1895"/>
    <cellStyle name="40% - 강조색3 14 2" xfId="1896"/>
    <cellStyle name="40% - 강조색3 14 3" xfId="1897"/>
    <cellStyle name="40% - 강조색3 14_Sheet1" xfId="1898"/>
    <cellStyle name="40% - 강조색3 15" xfId="1899"/>
    <cellStyle name="40% - 강조색3 15 2" xfId="1900"/>
    <cellStyle name="40% - 강조색3 15 3" xfId="1901"/>
    <cellStyle name="40% - 강조색3 15_Sheet1" xfId="1902"/>
    <cellStyle name="40% - 강조색3 16" xfId="1903"/>
    <cellStyle name="40% - 강조색3 16 2" xfId="1904"/>
    <cellStyle name="40% - 강조색3 16 3" xfId="1905"/>
    <cellStyle name="40% - 강조색3 16_Sheet1" xfId="1906"/>
    <cellStyle name="40% - 강조색3 17" xfId="1907"/>
    <cellStyle name="40% - 강조색3 17 2" xfId="1908"/>
    <cellStyle name="40% - 강조색3 17 3" xfId="1909"/>
    <cellStyle name="40% - 강조색3 17_Sheet1" xfId="1910"/>
    <cellStyle name="40% - 강조색3 18" xfId="1911"/>
    <cellStyle name="40% - 강조색3 18 2" xfId="1912"/>
    <cellStyle name="40% - 강조색3 18 3" xfId="1913"/>
    <cellStyle name="40% - 강조색3 18_Sheet1" xfId="1914"/>
    <cellStyle name="40% - 강조색3 19" xfId="1915"/>
    <cellStyle name="40% - 강조색3 19 2" xfId="1916"/>
    <cellStyle name="40% - 강조색3 19 3" xfId="1917"/>
    <cellStyle name="40% - 강조색3 19_Sheet1" xfId="1918"/>
    <cellStyle name="40% - 강조색3 2" xfId="1919"/>
    <cellStyle name="40% - 강조색3 20" xfId="1920"/>
    <cellStyle name="40% - 강조색3 20 2" xfId="1921"/>
    <cellStyle name="40% - 강조색3 20 3" xfId="1922"/>
    <cellStyle name="40% - 강조색3 20_Sheet1" xfId="1923"/>
    <cellStyle name="40% - 강조색3 21" xfId="1924"/>
    <cellStyle name="40% - 강조색3 21 2" xfId="1925"/>
    <cellStyle name="40% - 강조색3 21 3" xfId="1926"/>
    <cellStyle name="40% - 강조색3 21_Sheet1" xfId="1927"/>
    <cellStyle name="40% - 강조색3 22" xfId="1928"/>
    <cellStyle name="40% - 강조색3 22 2" xfId="1929"/>
    <cellStyle name="40% - 강조색3 22 3" xfId="1930"/>
    <cellStyle name="40% - 강조색3 22_Sheet1" xfId="1931"/>
    <cellStyle name="40% - 강조색3 23" xfId="1932"/>
    <cellStyle name="40% - 강조색3 23 2" xfId="1933"/>
    <cellStyle name="40% - 강조색3 23 3" xfId="1934"/>
    <cellStyle name="40% - 강조색3 23_Sheet1" xfId="1935"/>
    <cellStyle name="40% - 강조색3 24" xfId="1936"/>
    <cellStyle name="40% - 강조색3 24 2" xfId="1937"/>
    <cellStyle name="40% - 강조색3 24 3" xfId="1938"/>
    <cellStyle name="40% - 강조색3 24_Sheet1" xfId="1939"/>
    <cellStyle name="40% - 강조색3 25" xfId="1940"/>
    <cellStyle name="40% - 강조색3 25 2" xfId="1941"/>
    <cellStyle name="40% - 강조색3 25 3" xfId="1942"/>
    <cellStyle name="40% - 강조색3 25_Sheet1" xfId="1943"/>
    <cellStyle name="40% - 강조색3 26" xfId="1944"/>
    <cellStyle name="40% - 강조색3 26 2" xfId="1945"/>
    <cellStyle name="40% - 강조색3 26 3" xfId="1946"/>
    <cellStyle name="40% - 강조색3 26_Sheet1" xfId="1947"/>
    <cellStyle name="40% - 강조색3 27" xfId="1948"/>
    <cellStyle name="40% - 강조색3 27 2" xfId="1949"/>
    <cellStyle name="40% - 강조색3 27 3" xfId="1950"/>
    <cellStyle name="40% - 강조색3 27_Sheet1" xfId="1951"/>
    <cellStyle name="40% - 강조색3 28" xfId="1952"/>
    <cellStyle name="40% - 강조색3 28 2" xfId="1953"/>
    <cellStyle name="40% - 강조색3 28 3" xfId="1954"/>
    <cellStyle name="40% - 강조색3 28_Sheet1" xfId="1955"/>
    <cellStyle name="40% - 강조색3 29" xfId="1956"/>
    <cellStyle name="40% - 강조색3 29 2" xfId="1957"/>
    <cellStyle name="40% - 강조색3 29 3" xfId="1958"/>
    <cellStyle name="40% - 강조색3 29_Sheet1" xfId="1959"/>
    <cellStyle name="40% - 강조색3 3" xfId="1960"/>
    <cellStyle name="40% - 강조색3 30" xfId="1961"/>
    <cellStyle name="40% - 강조색3 30 2" xfId="1962"/>
    <cellStyle name="40% - 강조색3 30 3" xfId="1963"/>
    <cellStyle name="40% - 강조색3 30_Sheet1" xfId="1964"/>
    <cellStyle name="40% - 강조색3 31" xfId="1965"/>
    <cellStyle name="40% - 강조색3 31 2" xfId="1966"/>
    <cellStyle name="40% - 강조색3 31 3" xfId="1967"/>
    <cellStyle name="40% - 강조색3 31_Sheet1" xfId="1968"/>
    <cellStyle name="40% - 강조색3 32" xfId="1969"/>
    <cellStyle name="40% - 강조색3 32 2" xfId="1970"/>
    <cellStyle name="40% - 강조색3 32 3" xfId="1971"/>
    <cellStyle name="40% - 강조색3 32_Sheet1" xfId="1972"/>
    <cellStyle name="40% - 강조색3 33" xfId="1973"/>
    <cellStyle name="40% - 강조색3 33 2" xfId="1974"/>
    <cellStyle name="40% - 강조색3 33 3" xfId="1975"/>
    <cellStyle name="40% - 강조색3 33_Sheet1" xfId="1976"/>
    <cellStyle name="40% - 강조색3 34" xfId="1977"/>
    <cellStyle name="40% - 강조색3 34 2" xfId="1978"/>
    <cellStyle name="40% - 강조색3 34 3" xfId="1979"/>
    <cellStyle name="40% - 강조색3 34_Sheet1" xfId="1980"/>
    <cellStyle name="40% - 강조색3 35" xfId="1981"/>
    <cellStyle name="40% - 강조색3 35 2" xfId="1982"/>
    <cellStyle name="40% - 강조색3 35 3" xfId="1983"/>
    <cellStyle name="40% - 강조색3 35_Sheet1" xfId="1984"/>
    <cellStyle name="40% - 강조색3 36" xfId="1985"/>
    <cellStyle name="40% - 강조색3 36 2" xfId="1986"/>
    <cellStyle name="40% - 강조색3 36 3" xfId="1987"/>
    <cellStyle name="40% - 강조색3 36_Sheet1" xfId="1988"/>
    <cellStyle name="40% - 강조색3 37" xfId="1989"/>
    <cellStyle name="40% - 강조색3 37 2" xfId="1990"/>
    <cellStyle name="40% - 강조색3 37 3" xfId="1991"/>
    <cellStyle name="40% - 강조색3 37_Sheet1" xfId="1992"/>
    <cellStyle name="40% - 강조색3 38" xfId="1993"/>
    <cellStyle name="40% - 강조색3 38 2" xfId="1994"/>
    <cellStyle name="40% - 강조색3 38 3" xfId="1995"/>
    <cellStyle name="40% - 강조색3 38_Sheet1" xfId="1996"/>
    <cellStyle name="40% - 강조색3 39" xfId="1997"/>
    <cellStyle name="40% - 강조색3 39 2" xfId="1998"/>
    <cellStyle name="40% - 강조색3 39 3" xfId="1999"/>
    <cellStyle name="40% - 강조색3 39_Sheet1" xfId="2000"/>
    <cellStyle name="40% - 강조색3 4" xfId="2001"/>
    <cellStyle name="40% - 강조색3 40" xfId="2002"/>
    <cellStyle name="40% - 강조색3 40 2" xfId="2003"/>
    <cellStyle name="40% - 강조색3 40 3" xfId="2004"/>
    <cellStyle name="40% - 강조색3 40_Sheet1" xfId="2005"/>
    <cellStyle name="40% - 강조색3 41" xfId="2006"/>
    <cellStyle name="40% - 강조색3 41 2" xfId="2007"/>
    <cellStyle name="40% - 강조색3 41 3" xfId="2008"/>
    <cellStyle name="40% - 강조색3 41_Sheet1" xfId="2009"/>
    <cellStyle name="40% - 강조색3 42" xfId="2010"/>
    <cellStyle name="40% - 강조색3 42 2" xfId="2011"/>
    <cellStyle name="40% - 강조색3 42 3" xfId="2012"/>
    <cellStyle name="40% - 강조색3 42_Sheet1" xfId="2013"/>
    <cellStyle name="40% - 강조색3 43" xfId="2014"/>
    <cellStyle name="40% - 강조색3 43 2" xfId="2015"/>
    <cellStyle name="40% - 강조색3 43 3" xfId="2016"/>
    <cellStyle name="40% - 강조색3 43_Sheet1" xfId="2017"/>
    <cellStyle name="40% - 강조색3 44" xfId="2018"/>
    <cellStyle name="40% - 강조색3 44 2" xfId="2019"/>
    <cellStyle name="40% - 강조색3 44 3" xfId="2020"/>
    <cellStyle name="40% - 강조색3 44_Sheet1" xfId="2021"/>
    <cellStyle name="40% - 강조색3 45" xfId="2022"/>
    <cellStyle name="40% - 강조색3 45 2" xfId="2023"/>
    <cellStyle name="40% - 강조색3 45 3" xfId="2024"/>
    <cellStyle name="40% - 강조색3 45_Sheet1" xfId="2025"/>
    <cellStyle name="40% - 강조색3 46" xfId="2026"/>
    <cellStyle name="40% - 강조색3 47" xfId="2027"/>
    <cellStyle name="40% - 강조색3 48" xfId="2028"/>
    <cellStyle name="40% - 강조색3 49" xfId="2029"/>
    <cellStyle name="40% - 강조색3 5" xfId="2030"/>
    <cellStyle name="40% - 강조색3 5 2" xfId="2031"/>
    <cellStyle name="40% - 강조색3 5 3" xfId="2032"/>
    <cellStyle name="40% - 강조색3 5_Sheet1" xfId="2033"/>
    <cellStyle name="40% - 강조색3 50" xfId="2034"/>
    <cellStyle name="40% - 강조색3 51" xfId="2035"/>
    <cellStyle name="40% - 강조색3 52" xfId="2036"/>
    <cellStyle name="40% - 강조색3 53" xfId="2037"/>
    <cellStyle name="40% - 강조색3 54" xfId="2038"/>
    <cellStyle name="40% - 강조색3 55" xfId="2039"/>
    <cellStyle name="40% - 강조색3 56" xfId="2040"/>
    <cellStyle name="40% - 강조색3 57" xfId="2041"/>
    <cellStyle name="40% - 강조색3 58" xfId="2042"/>
    <cellStyle name="40% - 강조색3 59" xfId="2043"/>
    <cellStyle name="40% - 강조색3 6" xfId="2044"/>
    <cellStyle name="40% - 강조색3 6 2" xfId="2045"/>
    <cellStyle name="40% - 강조색3 6 3" xfId="2046"/>
    <cellStyle name="40% - 강조색3 6_Sheet1" xfId="2047"/>
    <cellStyle name="40% - 강조색3 60" xfId="2048"/>
    <cellStyle name="40% - 강조색3 61" xfId="2049"/>
    <cellStyle name="40% - 강조색3 62" xfId="2050"/>
    <cellStyle name="40% - 강조색3 63" xfId="2051"/>
    <cellStyle name="40% - 강조색3 64" xfId="2052"/>
    <cellStyle name="40% - 강조색3 65" xfId="2053"/>
    <cellStyle name="40% - 강조색3 66" xfId="2054"/>
    <cellStyle name="40% - 강조색3 67" xfId="2055"/>
    <cellStyle name="40% - 강조색3 68" xfId="2056"/>
    <cellStyle name="40% - 강조색3 69" xfId="2057"/>
    <cellStyle name="40% - 강조색3 7" xfId="2058"/>
    <cellStyle name="40% - 강조색3 7 2" xfId="2059"/>
    <cellStyle name="40% - 강조색3 7 3" xfId="2060"/>
    <cellStyle name="40% - 강조색3 7_Sheet1" xfId="2061"/>
    <cellStyle name="40% - 강조색3 70" xfId="2062"/>
    <cellStyle name="40% - 강조색3 71" xfId="2063"/>
    <cellStyle name="40% - 강조색3 72" xfId="2064"/>
    <cellStyle name="40% - 강조색3 73" xfId="2065"/>
    <cellStyle name="40% - 강조색3 74" xfId="2066"/>
    <cellStyle name="40% - 강조색3 75" xfId="2067"/>
    <cellStyle name="40% - 강조색3 76" xfId="2068"/>
    <cellStyle name="40% - 강조색3 77" xfId="2069"/>
    <cellStyle name="40% - 강조색3 78" xfId="2070"/>
    <cellStyle name="40% - 강조색3 79" xfId="2071"/>
    <cellStyle name="40% - 강조색3 8" xfId="2072"/>
    <cellStyle name="40% - 강조색3 8 2" xfId="2073"/>
    <cellStyle name="40% - 강조색3 8 3" xfId="2074"/>
    <cellStyle name="40% - 강조색3 8_Sheet1" xfId="2075"/>
    <cellStyle name="40% - 강조색3 80" xfId="2076"/>
    <cellStyle name="40% - 강조색3 81" xfId="2077"/>
    <cellStyle name="40% - 강조색3 82" xfId="2078"/>
    <cellStyle name="40% - 강조색3 83" xfId="2079"/>
    <cellStyle name="40% - 강조색3 84" xfId="2080"/>
    <cellStyle name="40% - 강조색3 85" xfId="2081"/>
    <cellStyle name="40% - 강조색3 86" xfId="2082"/>
    <cellStyle name="40% - 강조색3 87" xfId="2083"/>
    <cellStyle name="40% - 강조색3 88" xfId="2084"/>
    <cellStyle name="40% - 강조색3 89" xfId="2085"/>
    <cellStyle name="40% - 강조색3 9" xfId="2086"/>
    <cellStyle name="40% - 강조색3 9 2" xfId="2087"/>
    <cellStyle name="40% - 강조색3 9 3" xfId="2088"/>
    <cellStyle name="40% - 강조색3 9_Sheet1" xfId="2089"/>
    <cellStyle name="40% - 강조색3 90" xfId="2090"/>
    <cellStyle name="40% - 강조색3 91" xfId="2091"/>
    <cellStyle name="40% - 강조색3 92" xfId="2092"/>
    <cellStyle name="40% - 강조색3 93" xfId="2093"/>
    <cellStyle name="40% - 강조색3 94" xfId="2094"/>
    <cellStyle name="40% - 강조색3 95" xfId="2095"/>
    <cellStyle name="40% - 강조색3 96" xfId="2096"/>
    <cellStyle name="40% - 강조색3 97" xfId="2097"/>
    <cellStyle name="40% - 강조색3 98" xfId="2098"/>
    <cellStyle name="40% - 강조색3 99" xfId="2099"/>
    <cellStyle name="40% - 강조색4 10" xfId="2100"/>
    <cellStyle name="40% - 강조색4 10 2" xfId="2101"/>
    <cellStyle name="40% - 강조색4 10 3" xfId="2102"/>
    <cellStyle name="40% - 강조색4 10_Sheet1" xfId="2103"/>
    <cellStyle name="40% - 강조색4 100" xfId="2104"/>
    <cellStyle name="40% - 강조색4 101" xfId="2105"/>
    <cellStyle name="40% - 강조색4 102" xfId="2106"/>
    <cellStyle name="40% - 강조색4 103" xfId="2107"/>
    <cellStyle name="40% - 강조색4 104" xfId="2108"/>
    <cellStyle name="40% - 강조색4 105" xfId="2109"/>
    <cellStyle name="40% - 강조색4 106" xfId="2110"/>
    <cellStyle name="40% - 강조색4 107" xfId="2111"/>
    <cellStyle name="40% - 강조색4 108" xfId="2112"/>
    <cellStyle name="40% - 강조색4 109" xfId="2113"/>
    <cellStyle name="40% - 강조색4 11" xfId="2114"/>
    <cellStyle name="40% - 강조색4 11 2" xfId="2115"/>
    <cellStyle name="40% - 강조색4 11 3" xfId="2116"/>
    <cellStyle name="40% - 강조색4 11_Sheet1" xfId="2117"/>
    <cellStyle name="40% - 강조색4 110" xfId="2118"/>
    <cellStyle name="40% - 강조색4 111" xfId="2119"/>
    <cellStyle name="40% - 강조색4 12" xfId="2120"/>
    <cellStyle name="40% - 강조색4 12 2" xfId="2121"/>
    <cellStyle name="40% - 강조색4 12 3" xfId="2122"/>
    <cellStyle name="40% - 강조색4 12_Sheet1" xfId="2123"/>
    <cellStyle name="40% - 강조색4 13" xfId="2124"/>
    <cellStyle name="40% - 강조색4 13 2" xfId="2125"/>
    <cellStyle name="40% - 강조색4 13 3" xfId="2126"/>
    <cellStyle name="40% - 강조색4 13_Sheet1" xfId="2127"/>
    <cellStyle name="40% - 강조색4 14" xfId="2128"/>
    <cellStyle name="40% - 강조색4 14 2" xfId="2129"/>
    <cellStyle name="40% - 강조색4 14 3" xfId="2130"/>
    <cellStyle name="40% - 강조색4 14_Sheet1" xfId="2131"/>
    <cellStyle name="40% - 강조색4 15" xfId="2132"/>
    <cellStyle name="40% - 강조색4 15 2" xfId="2133"/>
    <cellStyle name="40% - 강조색4 15 3" xfId="2134"/>
    <cellStyle name="40% - 강조색4 15_Sheet1" xfId="2135"/>
    <cellStyle name="40% - 강조색4 16" xfId="2136"/>
    <cellStyle name="40% - 강조색4 16 2" xfId="2137"/>
    <cellStyle name="40% - 강조색4 16 3" xfId="2138"/>
    <cellStyle name="40% - 강조색4 16_Sheet1" xfId="2139"/>
    <cellStyle name="40% - 강조색4 17" xfId="2140"/>
    <cellStyle name="40% - 강조색4 17 2" xfId="2141"/>
    <cellStyle name="40% - 강조색4 17 3" xfId="2142"/>
    <cellStyle name="40% - 강조색4 17_Sheet1" xfId="2143"/>
    <cellStyle name="40% - 강조색4 18" xfId="2144"/>
    <cellStyle name="40% - 강조색4 18 2" xfId="2145"/>
    <cellStyle name="40% - 강조색4 18 3" xfId="2146"/>
    <cellStyle name="40% - 강조색4 18_Sheet1" xfId="2147"/>
    <cellStyle name="40% - 강조색4 19" xfId="2148"/>
    <cellStyle name="40% - 강조색4 19 2" xfId="2149"/>
    <cellStyle name="40% - 강조색4 19 3" xfId="2150"/>
    <cellStyle name="40% - 강조색4 19_Sheet1" xfId="2151"/>
    <cellStyle name="40% - 강조색4 2" xfId="2152"/>
    <cellStyle name="40% - 강조색4 20" xfId="2153"/>
    <cellStyle name="40% - 강조색4 20 2" xfId="2154"/>
    <cellStyle name="40% - 강조색4 20 3" xfId="2155"/>
    <cellStyle name="40% - 강조색4 20_Sheet1" xfId="2156"/>
    <cellStyle name="40% - 강조색4 21" xfId="2157"/>
    <cellStyle name="40% - 강조색4 21 2" xfId="2158"/>
    <cellStyle name="40% - 강조색4 21 3" xfId="2159"/>
    <cellStyle name="40% - 강조색4 21_Sheet1" xfId="2160"/>
    <cellStyle name="40% - 강조색4 22" xfId="2161"/>
    <cellStyle name="40% - 강조색4 22 2" xfId="2162"/>
    <cellStyle name="40% - 강조색4 22 3" xfId="2163"/>
    <cellStyle name="40% - 강조색4 22_Sheet1" xfId="2164"/>
    <cellStyle name="40% - 강조색4 23" xfId="2165"/>
    <cellStyle name="40% - 강조색4 23 2" xfId="2166"/>
    <cellStyle name="40% - 강조색4 23 3" xfId="2167"/>
    <cellStyle name="40% - 강조색4 23_Sheet1" xfId="2168"/>
    <cellStyle name="40% - 강조색4 24" xfId="2169"/>
    <cellStyle name="40% - 강조색4 24 2" xfId="2170"/>
    <cellStyle name="40% - 강조색4 24 3" xfId="2171"/>
    <cellStyle name="40% - 강조색4 24_Sheet1" xfId="2172"/>
    <cellStyle name="40% - 강조색4 25" xfId="2173"/>
    <cellStyle name="40% - 강조색4 25 2" xfId="2174"/>
    <cellStyle name="40% - 강조색4 25 3" xfId="2175"/>
    <cellStyle name="40% - 강조색4 25_Sheet1" xfId="2176"/>
    <cellStyle name="40% - 강조색4 26" xfId="2177"/>
    <cellStyle name="40% - 강조색4 26 2" xfId="2178"/>
    <cellStyle name="40% - 강조색4 26 3" xfId="2179"/>
    <cellStyle name="40% - 강조색4 26_Sheet1" xfId="2180"/>
    <cellStyle name="40% - 강조색4 27" xfId="2181"/>
    <cellStyle name="40% - 강조색4 27 2" xfId="2182"/>
    <cellStyle name="40% - 강조색4 27 3" xfId="2183"/>
    <cellStyle name="40% - 강조색4 27_Sheet1" xfId="2184"/>
    <cellStyle name="40% - 강조색4 28" xfId="2185"/>
    <cellStyle name="40% - 강조색4 28 2" xfId="2186"/>
    <cellStyle name="40% - 강조색4 28 3" xfId="2187"/>
    <cellStyle name="40% - 강조색4 28_Sheet1" xfId="2188"/>
    <cellStyle name="40% - 강조색4 29" xfId="2189"/>
    <cellStyle name="40% - 강조색4 29 2" xfId="2190"/>
    <cellStyle name="40% - 강조색4 29 3" xfId="2191"/>
    <cellStyle name="40% - 강조색4 29_Sheet1" xfId="2192"/>
    <cellStyle name="40% - 강조색4 3" xfId="2193"/>
    <cellStyle name="40% - 강조색4 30" xfId="2194"/>
    <cellStyle name="40% - 강조색4 30 2" xfId="2195"/>
    <cellStyle name="40% - 강조색4 30 3" xfId="2196"/>
    <cellStyle name="40% - 강조색4 30_Sheet1" xfId="2197"/>
    <cellStyle name="40% - 강조색4 31" xfId="2198"/>
    <cellStyle name="40% - 강조색4 31 2" xfId="2199"/>
    <cellStyle name="40% - 강조색4 31 3" xfId="2200"/>
    <cellStyle name="40% - 강조색4 31_Sheet1" xfId="2201"/>
    <cellStyle name="40% - 강조색4 32" xfId="2202"/>
    <cellStyle name="40% - 강조색4 32 2" xfId="2203"/>
    <cellStyle name="40% - 강조색4 32 3" xfId="2204"/>
    <cellStyle name="40% - 강조색4 32_Sheet1" xfId="2205"/>
    <cellStyle name="40% - 강조색4 33" xfId="2206"/>
    <cellStyle name="40% - 강조색4 33 2" xfId="2207"/>
    <cellStyle name="40% - 강조색4 33 3" xfId="2208"/>
    <cellStyle name="40% - 강조색4 33_Sheet1" xfId="2209"/>
    <cellStyle name="40% - 강조색4 34" xfId="2210"/>
    <cellStyle name="40% - 강조색4 34 2" xfId="2211"/>
    <cellStyle name="40% - 강조색4 34 3" xfId="2212"/>
    <cellStyle name="40% - 강조색4 34_Sheet1" xfId="2213"/>
    <cellStyle name="40% - 강조색4 35" xfId="2214"/>
    <cellStyle name="40% - 강조색4 35 2" xfId="2215"/>
    <cellStyle name="40% - 강조색4 35 3" xfId="2216"/>
    <cellStyle name="40% - 강조색4 35_Sheet1" xfId="2217"/>
    <cellStyle name="40% - 강조색4 36" xfId="2218"/>
    <cellStyle name="40% - 강조색4 36 2" xfId="2219"/>
    <cellStyle name="40% - 강조색4 36 3" xfId="2220"/>
    <cellStyle name="40% - 강조색4 36_Sheet1" xfId="2221"/>
    <cellStyle name="40% - 강조색4 37" xfId="2222"/>
    <cellStyle name="40% - 강조색4 37 2" xfId="2223"/>
    <cellStyle name="40% - 강조색4 37 3" xfId="2224"/>
    <cellStyle name="40% - 강조색4 37_Sheet1" xfId="2225"/>
    <cellStyle name="40% - 강조색4 38" xfId="2226"/>
    <cellStyle name="40% - 강조색4 38 2" xfId="2227"/>
    <cellStyle name="40% - 강조색4 38 3" xfId="2228"/>
    <cellStyle name="40% - 강조색4 38_Sheet1" xfId="2229"/>
    <cellStyle name="40% - 강조색4 39" xfId="2230"/>
    <cellStyle name="40% - 강조색4 39 2" xfId="2231"/>
    <cellStyle name="40% - 강조색4 39 3" xfId="2232"/>
    <cellStyle name="40% - 강조색4 39_Sheet1" xfId="2233"/>
    <cellStyle name="40% - 강조색4 4" xfId="2234"/>
    <cellStyle name="40% - 강조색4 40" xfId="2235"/>
    <cellStyle name="40% - 강조색4 40 2" xfId="2236"/>
    <cellStyle name="40% - 강조색4 40 3" xfId="2237"/>
    <cellStyle name="40% - 강조색4 40_Sheet1" xfId="2238"/>
    <cellStyle name="40% - 강조색4 41" xfId="2239"/>
    <cellStyle name="40% - 강조색4 41 2" xfId="2240"/>
    <cellStyle name="40% - 강조색4 41 3" xfId="2241"/>
    <cellStyle name="40% - 강조색4 41_Sheet1" xfId="2242"/>
    <cellStyle name="40% - 강조색4 42" xfId="2243"/>
    <cellStyle name="40% - 강조색4 42 2" xfId="2244"/>
    <cellStyle name="40% - 강조색4 42 3" xfId="2245"/>
    <cellStyle name="40% - 강조색4 42_Sheet1" xfId="2246"/>
    <cellStyle name="40% - 강조색4 43" xfId="2247"/>
    <cellStyle name="40% - 강조색4 43 2" xfId="2248"/>
    <cellStyle name="40% - 강조색4 43 3" xfId="2249"/>
    <cellStyle name="40% - 강조색4 43_Sheet1" xfId="2250"/>
    <cellStyle name="40% - 강조색4 44" xfId="2251"/>
    <cellStyle name="40% - 강조색4 44 2" xfId="2252"/>
    <cellStyle name="40% - 강조색4 44 3" xfId="2253"/>
    <cellStyle name="40% - 강조색4 44_Sheet1" xfId="2254"/>
    <cellStyle name="40% - 강조색4 45" xfId="2255"/>
    <cellStyle name="40% - 강조색4 45 2" xfId="2256"/>
    <cellStyle name="40% - 강조색4 45 3" xfId="2257"/>
    <cellStyle name="40% - 강조색4 45_Sheet1" xfId="2258"/>
    <cellStyle name="40% - 강조색4 46" xfId="2259"/>
    <cellStyle name="40% - 강조색4 47" xfId="2260"/>
    <cellStyle name="40% - 강조색4 48" xfId="2261"/>
    <cellStyle name="40% - 강조색4 49" xfId="2262"/>
    <cellStyle name="40% - 강조색4 5" xfId="2263"/>
    <cellStyle name="40% - 강조색4 5 2" xfId="2264"/>
    <cellStyle name="40% - 강조색4 5 3" xfId="2265"/>
    <cellStyle name="40% - 강조색4 5_Sheet1" xfId="2266"/>
    <cellStyle name="40% - 강조색4 50" xfId="2267"/>
    <cellStyle name="40% - 강조색4 51" xfId="2268"/>
    <cellStyle name="40% - 강조색4 52" xfId="2269"/>
    <cellStyle name="40% - 강조색4 53" xfId="2270"/>
    <cellStyle name="40% - 강조색4 54" xfId="2271"/>
    <cellStyle name="40% - 강조색4 55" xfId="2272"/>
    <cellStyle name="40% - 강조색4 56" xfId="2273"/>
    <cellStyle name="40% - 강조색4 57" xfId="2274"/>
    <cellStyle name="40% - 강조색4 58" xfId="2275"/>
    <cellStyle name="40% - 강조색4 59" xfId="2276"/>
    <cellStyle name="40% - 강조색4 6" xfId="2277"/>
    <cellStyle name="40% - 강조색4 6 2" xfId="2278"/>
    <cellStyle name="40% - 강조색4 6 3" xfId="2279"/>
    <cellStyle name="40% - 강조색4 6_Sheet1" xfId="2280"/>
    <cellStyle name="40% - 강조색4 60" xfId="2281"/>
    <cellStyle name="40% - 강조색4 61" xfId="2282"/>
    <cellStyle name="40% - 강조색4 62" xfId="2283"/>
    <cellStyle name="40% - 강조색4 63" xfId="2284"/>
    <cellStyle name="40% - 강조색4 64" xfId="2285"/>
    <cellStyle name="40% - 강조색4 65" xfId="2286"/>
    <cellStyle name="40% - 강조색4 66" xfId="2287"/>
    <cellStyle name="40% - 강조색4 67" xfId="2288"/>
    <cellStyle name="40% - 강조색4 68" xfId="2289"/>
    <cellStyle name="40% - 강조색4 69" xfId="2290"/>
    <cellStyle name="40% - 강조색4 7" xfId="2291"/>
    <cellStyle name="40% - 강조색4 7 2" xfId="2292"/>
    <cellStyle name="40% - 강조색4 7 3" xfId="2293"/>
    <cellStyle name="40% - 강조색4 7_Sheet1" xfId="2294"/>
    <cellStyle name="40% - 강조색4 70" xfId="2295"/>
    <cellStyle name="40% - 강조색4 71" xfId="2296"/>
    <cellStyle name="40% - 강조색4 72" xfId="2297"/>
    <cellStyle name="40% - 강조색4 73" xfId="2298"/>
    <cellStyle name="40% - 강조색4 74" xfId="2299"/>
    <cellStyle name="40% - 강조색4 75" xfId="2300"/>
    <cellStyle name="40% - 강조색4 76" xfId="2301"/>
    <cellStyle name="40% - 강조색4 77" xfId="2302"/>
    <cellStyle name="40% - 강조색4 78" xfId="2303"/>
    <cellStyle name="40% - 강조색4 79" xfId="2304"/>
    <cellStyle name="40% - 강조색4 8" xfId="2305"/>
    <cellStyle name="40% - 강조색4 8 2" xfId="2306"/>
    <cellStyle name="40% - 강조색4 8 3" xfId="2307"/>
    <cellStyle name="40% - 강조색4 8_Sheet1" xfId="2308"/>
    <cellStyle name="40% - 강조색4 80" xfId="2309"/>
    <cellStyle name="40% - 강조색4 81" xfId="2310"/>
    <cellStyle name="40% - 강조색4 82" xfId="2311"/>
    <cellStyle name="40% - 강조색4 83" xfId="2312"/>
    <cellStyle name="40% - 강조색4 84" xfId="2313"/>
    <cellStyle name="40% - 강조색4 85" xfId="2314"/>
    <cellStyle name="40% - 강조색4 86" xfId="2315"/>
    <cellStyle name="40% - 강조색4 87" xfId="2316"/>
    <cellStyle name="40% - 강조색4 88" xfId="2317"/>
    <cellStyle name="40% - 강조색4 89" xfId="2318"/>
    <cellStyle name="40% - 강조색4 9" xfId="2319"/>
    <cellStyle name="40% - 강조색4 9 2" xfId="2320"/>
    <cellStyle name="40% - 강조색4 9 3" xfId="2321"/>
    <cellStyle name="40% - 강조색4 9_Sheet1" xfId="2322"/>
    <cellStyle name="40% - 강조색4 90" xfId="2323"/>
    <cellStyle name="40% - 강조색4 91" xfId="2324"/>
    <cellStyle name="40% - 강조색4 92" xfId="2325"/>
    <cellStyle name="40% - 강조색4 93" xfId="2326"/>
    <cellStyle name="40% - 강조색4 94" xfId="2327"/>
    <cellStyle name="40% - 강조색4 95" xfId="2328"/>
    <cellStyle name="40% - 강조색4 96" xfId="2329"/>
    <cellStyle name="40% - 강조색4 97" xfId="2330"/>
    <cellStyle name="40% - 강조색4 98" xfId="2331"/>
    <cellStyle name="40% - 강조색4 99" xfId="2332"/>
    <cellStyle name="40% - 강조색5 10" xfId="2333"/>
    <cellStyle name="40% - 강조색5 10 2" xfId="2334"/>
    <cellStyle name="40% - 강조색5 10 3" xfId="2335"/>
    <cellStyle name="40% - 강조색5 10_Sheet1" xfId="2336"/>
    <cellStyle name="40% - 강조색5 100" xfId="2337"/>
    <cellStyle name="40% - 강조색5 101" xfId="2338"/>
    <cellStyle name="40% - 강조색5 102" xfId="2339"/>
    <cellStyle name="40% - 강조색5 103" xfId="2340"/>
    <cellStyle name="40% - 강조색5 104" xfId="2341"/>
    <cellStyle name="40% - 강조색5 105" xfId="2342"/>
    <cellStyle name="40% - 강조색5 106" xfId="2343"/>
    <cellStyle name="40% - 강조색5 107" xfId="2344"/>
    <cellStyle name="40% - 강조색5 108" xfId="2345"/>
    <cellStyle name="40% - 강조색5 109" xfId="2346"/>
    <cellStyle name="40% - 강조색5 11" xfId="2347"/>
    <cellStyle name="40% - 강조색5 11 2" xfId="2348"/>
    <cellStyle name="40% - 강조색5 11 3" xfId="2349"/>
    <cellStyle name="40% - 강조색5 11_Sheet1" xfId="2350"/>
    <cellStyle name="40% - 강조색5 110" xfId="2351"/>
    <cellStyle name="40% - 강조색5 111" xfId="2352"/>
    <cellStyle name="40% - 강조색5 12" xfId="2353"/>
    <cellStyle name="40% - 강조색5 12 2" xfId="2354"/>
    <cellStyle name="40% - 강조색5 12 3" xfId="2355"/>
    <cellStyle name="40% - 강조색5 12_Sheet1" xfId="2356"/>
    <cellStyle name="40% - 강조색5 13" xfId="2357"/>
    <cellStyle name="40% - 강조색5 13 2" xfId="2358"/>
    <cellStyle name="40% - 강조색5 13 3" xfId="2359"/>
    <cellStyle name="40% - 강조색5 13_Sheet1" xfId="2360"/>
    <cellStyle name="40% - 강조색5 14" xfId="2361"/>
    <cellStyle name="40% - 강조색5 14 2" xfId="2362"/>
    <cellStyle name="40% - 강조색5 14 3" xfId="2363"/>
    <cellStyle name="40% - 강조색5 14_Sheet1" xfId="2364"/>
    <cellStyle name="40% - 강조색5 15" xfId="2365"/>
    <cellStyle name="40% - 강조색5 15 2" xfId="2366"/>
    <cellStyle name="40% - 강조색5 15 3" xfId="2367"/>
    <cellStyle name="40% - 강조색5 15_Sheet1" xfId="2368"/>
    <cellStyle name="40% - 강조색5 16" xfId="2369"/>
    <cellStyle name="40% - 강조색5 16 2" xfId="2370"/>
    <cellStyle name="40% - 강조색5 16 3" xfId="2371"/>
    <cellStyle name="40% - 강조색5 16_Sheet1" xfId="2372"/>
    <cellStyle name="40% - 강조색5 17" xfId="2373"/>
    <cellStyle name="40% - 강조색5 17 2" xfId="2374"/>
    <cellStyle name="40% - 강조색5 17 3" xfId="2375"/>
    <cellStyle name="40% - 강조색5 17_Sheet1" xfId="2376"/>
    <cellStyle name="40% - 강조색5 18" xfId="2377"/>
    <cellStyle name="40% - 강조색5 18 2" xfId="2378"/>
    <cellStyle name="40% - 강조색5 18 3" xfId="2379"/>
    <cellStyle name="40% - 강조색5 18_Sheet1" xfId="2380"/>
    <cellStyle name="40% - 강조색5 19" xfId="2381"/>
    <cellStyle name="40% - 강조색5 19 2" xfId="2382"/>
    <cellStyle name="40% - 강조색5 19 3" xfId="2383"/>
    <cellStyle name="40% - 강조색5 19_Sheet1" xfId="2384"/>
    <cellStyle name="40% - 강조색5 2" xfId="2385"/>
    <cellStyle name="40% - 강조색5 20" xfId="2386"/>
    <cellStyle name="40% - 강조색5 20 2" xfId="2387"/>
    <cellStyle name="40% - 강조색5 20 3" xfId="2388"/>
    <cellStyle name="40% - 강조색5 20_Sheet1" xfId="2389"/>
    <cellStyle name="40% - 강조색5 21" xfId="2390"/>
    <cellStyle name="40% - 강조색5 21 2" xfId="2391"/>
    <cellStyle name="40% - 강조색5 21 3" xfId="2392"/>
    <cellStyle name="40% - 강조색5 21_Sheet1" xfId="2393"/>
    <cellStyle name="40% - 강조색5 22" xfId="2394"/>
    <cellStyle name="40% - 강조색5 22 2" xfId="2395"/>
    <cellStyle name="40% - 강조색5 22 3" xfId="2396"/>
    <cellStyle name="40% - 강조색5 22_Sheet1" xfId="2397"/>
    <cellStyle name="40% - 강조색5 23" xfId="2398"/>
    <cellStyle name="40% - 강조색5 23 2" xfId="2399"/>
    <cellStyle name="40% - 강조색5 23 3" xfId="2400"/>
    <cellStyle name="40% - 강조색5 23_Sheet1" xfId="2401"/>
    <cellStyle name="40% - 강조색5 24" xfId="2402"/>
    <cellStyle name="40% - 강조색5 24 2" xfId="2403"/>
    <cellStyle name="40% - 강조색5 24 3" xfId="2404"/>
    <cellStyle name="40% - 강조색5 24_Sheet1" xfId="2405"/>
    <cellStyle name="40% - 강조색5 25" xfId="2406"/>
    <cellStyle name="40% - 강조색5 25 2" xfId="2407"/>
    <cellStyle name="40% - 강조색5 25 3" xfId="2408"/>
    <cellStyle name="40% - 강조색5 25_Sheet1" xfId="2409"/>
    <cellStyle name="40% - 강조색5 26" xfId="2410"/>
    <cellStyle name="40% - 강조색5 26 2" xfId="2411"/>
    <cellStyle name="40% - 강조색5 26 3" xfId="2412"/>
    <cellStyle name="40% - 강조색5 26_Sheet1" xfId="2413"/>
    <cellStyle name="40% - 강조색5 27" xfId="2414"/>
    <cellStyle name="40% - 강조색5 27 2" xfId="2415"/>
    <cellStyle name="40% - 강조색5 27 3" xfId="2416"/>
    <cellStyle name="40% - 강조색5 27_Sheet1" xfId="2417"/>
    <cellStyle name="40% - 강조색5 28" xfId="2418"/>
    <cellStyle name="40% - 강조색5 28 2" xfId="2419"/>
    <cellStyle name="40% - 강조색5 28 3" xfId="2420"/>
    <cellStyle name="40% - 강조색5 28_Sheet1" xfId="2421"/>
    <cellStyle name="40% - 강조색5 29" xfId="2422"/>
    <cellStyle name="40% - 강조색5 29 2" xfId="2423"/>
    <cellStyle name="40% - 강조색5 29 3" xfId="2424"/>
    <cellStyle name="40% - 강조색5 29_Sheet1" xfId="2425"/>
    <cellStyle name="40% - 강조색5 3" xfId="2426"/>
    <cellStyle name="40% - 강조색5 30" xfId="2427"/>
    <cellStyle name="40% - 강조색5 30 2" xfId="2428"/>
    <cellStyle name="40% - 강조색5 30 3" xfId="2429"/>
    <cellStyle name="40% - 강조색5 30_Sheet1" xfId="2430"/>
    <cellStyle name="40% - 강조색5 31" xfId="2431"/>
    <cellStyle name="40% - 강조색5 31 2" xfId="2432"/>
    <cellStyle name="40% - 강조색5 31 3" xfId="2433"/>
    <cellStyle name="40% - 강조색5 31_Sheet1" xfId="2434"/>
    <cellStyle name="40% - 강조색5 32" xfId="2435"/>
    <cellStyle name="40% - 강조색5 32 2" xfId="2436"/>
    <cellStyle name="40% - 강조색5 32 3" xfId="2437"/>
    <cellStyle name="40% - 강조색5 32_Sheet1" xfId="2438"/>
    <cellStyle name="40% - 강조색5 33" xfId="2439"/>
    <cellStyle name="40% - 강조색5 33 2" xfId="2440"/>
    <cellStyle name="40% - 강조색5 33 3" xfId="2441"/>
    <cellStyle name="40% - 강조색5 33_Sheet1" xfId="2442"/>
    <cellStyle name="40% - 강조색5 34" xfId="2443"/>
    <cellStyle name="40% - 강조색5 34 2" xfId="2444"/>
    <cellStyle name="40% - 강조색5 34 3" xfId="2445"/>
    <cellStyle name="40% - 강조색5 34_Sheet1" xfId="2446"/>
    <cellStyle name="40% - 강조색5 35" xfId="2447"/>
    <cellStyle name="40% - 강조색5 35 2" xfId="2448"/>
    <cellStyle name="40% - 강조색5 35 3" xfId="2449"/>
    <cellStyle name="40% - 강조색5 35_Sheet1" xfId="2450"/>
    <cellStyle name="40% - 강조색5 36" xfId="2451"/>
    <cellStyle name="40% - 강조색5 36 2" xfId="2452"/>
    <cellStyle name="40% - 강조색5 36 3" xfId="2453"/>
    <cellStyle name="40% - 강조색5 36_Sheet1" xfId="2454"/>
    <cellStyle name="40% - 강조색5 37" xfId="2455"/>
    <cellStyle name="40% - 강조색5 37 2" xfId="2456"/>
    <cellStyle name="40% - 강조색5 37 3" xfId="2457"/>
    <cellStyle name="40% - 강조색5 37_Sheet1" xfId="2458"/>
    <cellStyle name="40% - 강조색5 38" xfId="2459"/>
    <cellStyle name="40% - 강조색5 38 2" xfId="2460"/>
    <cellStyle name="40% - 강조색5 38 3" xfId="2461"/>
    <cellStyle name="40% - 강조색5 38_Sheet1" xfId="2462"/>
    <cellStyle name="40% - 강조색5 39" xfId="2463"/>
    <cellStyle name="40% - 강조색5 39 2" xfId="2464"/>
    <cellStyle name="40% - 강조색5 39 3" xfId="2465"/>
    <cellStyle name="40% - 강조색5 39_Sheet1" xfId="2466"/>
    <cellStyle name="40% - 강조색5 4" xfId="2467"/>
    <cellStyle name="40% - 강조색5 40" xfId="2468"/>
    <cellStyle name="40% - 강조색5 40 2" xfId="2469"/>
    <cellStyle name="40% - 강조색5 40 3" xfId="2470"/>
    <cellStyle name="40% - 강조색5 40_Sheet1" xfId="2471"/>
    <cellStyle name="40% - 강조색5 41" xfId="2472"/>
    <cellStyle name="40% - 강조색5 41 2" xfId="2473"/>
    <cellStyle name="40% - 강조색5 41 3" xfId="2474"/>
    <cellStyle name="40% - 강조색5 41_Sheet1" xfId="2475"/>
    <cellStyle name="40% - 강조색5 42" xfId="2476"/>
    <cellStyle name="40% - 강조색5 42 2" xfId="2477"/>
    <cellStyle name="40% - 강조색5 42 3" xfId="2478"/>
    <cellStyle name="40% - 강조색5 42_Sheet1" xfId="2479"/>
    <cellStyle name="40% - 강조색5 43" xfId="2480"/>
    <cellStyle name="40% - 강조색5 43 2" xfId="2481"/>
    <cellStyle name="40% - 강조색5 43 3" xfId="2482"/>
    <cellStyle name="40% - 강조색5 43_Sheet1" xfId="2483"/>
    <cellStyle name="40% - 강조색5 44" xfId="2484"/>
    <cellStyle name="40% - 강조색5 44 2" xfId="2485"/>
    <cellStyle name="40% - 강조색5 44 3" xfId="2486"/>
    <cellStyle name="40% - 강조색5 44_Sheet1" xfId="2487"/>
    <cellStyle name="40% - 강조색5 45" xfId="2488"/>
    <cellStyle name="40% - 강조색5 45 2" xfId="2489"/>
    <cellStyle name="40% - 강조색5 45 3" xfId="2490"/>
    <cellStyle name="40% - 강조색5 45_Sheet1" xfId="2491"/>
    <cellStyle name="40% - 강조색5 46" xfId="2492"/>
    <cellStyle name="40% - 강조색5 47" xfId="2493"/>
    <cellStyle name="40% - 강조색5 48" xfId="2494"/>
    <cellStyle name="40% - 강조색5 49" xfId="2495"/>
    <cellStyle name="40% - 강조색5 5" xfId="2496"/>
    <cellStyle name="40% - 강조색5 5 2" xfId="2497"/>
    <cellStyle name="40% - 강조색5 5 3" xfId="2498"/>
    <cellStyle name="40% - 강조색5 5_Sheet1" xfId="2499"/>
    <cellStyle name="40% - 강조색5 50" xfId="2500"/>
    <cellStyle name="40% - 강조색5 51" xfId="2501"/>
    <cellStyle name="40% - 강조색5 52" xfId="2502"/>
    <cellStyle name="40% - 강조색5 53" xfId="2503"/>
    <cellStyle name="40% - 강조색5 54" xfId="2504"/>
    <cellStyle name="40% - 강조색5 55" xfId="2505"/>
    <cellStyle name="40% - 강조색5 56" xfId="2506"/>
    <cellStyle name="40% - 강조색5 57" xfId="2507"/>
    <cellStyle name="40% - 강조색5 58" xfId="2508"/>
    <cellStyle name="40% - 강조색5 59" xfId="2509"/>
    <cellStyle name="40% - 강조색5 6" xfId="2510"/>
    <cellStyle name="40% - 강조색5 6 2" xfId="2511"/>
    <cellStyle name="40% - 강조색5 6 3" xfId="2512"/>
    <cellStyle name="40% - 강조색5 6_Sheet1" xfId="2513"/>
    <cellStyle name="40% - 강조색5 60" xfId="2514"/>
    <cellStyle name="40% - 강조색5 61" xfId="2515"/>
    <cellStyle name="40% - 강조색5 62" xfId="2516"/>
    <cellStyle name="40% - 강조색5 63" xfId="2517"/>
    <cellStyle name="40% - 강조색5 64" xfId="2518"/>
    <cellStyle name="40% - 강조색5 65" xfId="2519"/>
    <cellStyle name="40% - 강조색5 66" xfId="2520"/>
    <cellStyle name="40% - 강조색5 67" xfId="2521"/>
    <cellStyle name="40% - 강조색5 68" xfId="2522"/>
    <cellStyle name="40% - 강조색5 69" xfId="2523"/>
    <cellStyle name="40% - 강조색5 7" xfId="2524"/>
    <cellStyle name="40% - 강조색5 7 2" xfId="2525"/>
    <cellStyle name="40% - 강조색5 7 3" xfId="2526"/>
    <cellStyle name="40% - 강조색5 7_Sheet1" xfId="2527"/>
    <cellStyle name="40% - 강조색5 70" xfId="2528"/>
    <cellStyle name="40% - 강조색5 71" xfId="2529"/>
    <cellStyle name="40% - 강조색5 72" xfId="2530"/>
    <cellStyle name="40% - 강조색5 73" xfId="2531"/>
    <cellStyle name="40% - 강조색5 74" xfId="2532"/>
    <cellStyle name="40% - 강조색5 75" xfId="2533"/>
    <cellStyle name="40% - 강조색5 76" xfId="2534"/>
    <cellStyle name="40% - 강조색5 77" xfId="2535"/>
    <cellStyle name="40% - 강조색5 78" xfId="2536"/>
    <cellStyle name="40% - 강조색5 79" xfId="2537"/>
    <cellStyle name="40% - 강조색5 8" xfId="2538"/>
    <cellStyle name="40% - 강조색5 8 2" xfId="2539"/>
    <cellStyle name="40% - 강조색5 8 3" xfId="2540"/>
    <cellStyle name="40% - 강조색5 8_Sheet1" xfId="2541"/>
    <cellStyle name="40% - 강조색5 80" xfId="2542"/>
    <cellStyle name="40% - 강조색5 81" xfId="2543"/>
    <cellStyle name="40% - 강조색5 82" xfId="2544"/>
    <cellStyle name="40% - 강조색5 83" xfId="2545"/>
    <cellStyle name="40% - 강조색5 84" xfId="2546"/>
    <cellStyle name="40% - 강조색5 85" xfId="2547"/>
    <cellStyle name="40% - 강조색5 86" xfId="2548"/>
    <cellStyle name="40% - 강조색5 87" xfId="2549"/>
    <cellStyle name="40% - 강조색5 88" xfId="2550"/>
    <cellStyle name="40% - 강조색5 89" xfId="2551"/>
    <cellStyle name="40% - 강조색5 9" xfId="2552"/>
    <cellStyle name="40% - 강조색5 9 2" xfId="2553"/>
    <cellStyle name="40% - 강조색5 9 3" xfId="2554"/>
    <cellStyle name="40% - 강조색5 9_Sheet1" xfId="2555"/>
    <cellStyle name="40% - 강조색5 90" xfId="2556"/>
    <cellStyle name="40% - 강조색5 91" xfId="2557"/>
    <cellStyle name="40% - 강조색5 92" xfId="2558"/>
    <cellStyle name="40% - 강조색5 93" xfId="2559"/>
    <cellStyle name="40% - 강조색5 94" xfId="2560"/>
    <cellStyle name="40% - 강조색5 95" xfId="2561"/>
    <cellStyle name="40% - 강조색5 96" xfId="2562"/>
    <cellStyle name="40% - 강조색5 97" xfId="2563"/>
    <cellStyle name="40% - 강조색5 98" xfId="2564"/>
    <cellStyle name="40% - 강조색5 99" xfId="2565"/>
    <cellStyle name="40% - 강조색6 10" xfId="2566"/>
    <cellStyle name="40% - 강조색6 10 2" xfId="2567"/>
    <cellStyle name="40% - 강조색6 10 3" xfId="2568"/>
    <cellStyle name="40% - 강조색6 10_Sheet1" xfId="2569"/>
    <cellStyle name="40% - 강조색6 100" xfId="2570"/>
    <cellStyle name="40% - 강조색6 101" xfId="2571"/>
    <cellStyle name="40% - 강조색6 102" xfId="2572"/>
    <cellStyle name="40% - 강조색6 103" xfId="2573"/>
    <cellStyle name="40% - 강조색6 104" xfId="2574"/>
    <cellStyle name="40% - 강조색6 105" xfId="2575"/>
    <cellStyle name="40% - 강조색6 106" xfId="2576"/>
    <cellStyle name="40% - 강조색6 107" xfId="2577"/>
    <cellStyle name="40% - 강조색6 108" xfId="2578"/>
    <cellStyle name="40% - 강조색6 109" xfId="2579"/>
    <cellStyle name="40% - 강조색6 11" xfId="2580"/>
    <cellStyle name="40% - 강조색6 11 2" xfId="2581"/>
    <cellStyle name="40% - 강조색6 11 3" xfId="2582"/>
    <cellStyle name="40% - 강조색6 11_Sheet1" xfId="2583"/>
    <cellStyle name="40% - 강조색6 110" xfId="2584"/>
    <cellStyle name="40% - 강조색6 111" xfId="2585"/>
    <cellStyle name="40% - 강조색6 12" xfId="2586"/>
    <cellStyle name="40% - 강조색6 12 2" xfId="2587"/>
    <cellStyle name="40% - 강조색6 12 3" xfId="2588"/>
    <cellStyle name="40% - 강조색6 12_Sheet1" xfId="2589"/>
    <cellStyle name="40% - 강조색6 13" xfId="2590"/>
    <cellStyle name="40% - 강조색6 13 2" xfId="2591"/>
    <cellStyle name="40% - 강조색6 13 3" xfId="2592"/>
    <cellStyle name="40% - 강조색6 13_Sheet1" xfId="2593"/>
    <cellStyle name="40% - 강조색6 14" xfId="2594"/>
    <cellStyle name="40% - 강조색6 14 2" xfId="2595"/>
    <cellStyle name="40% - 강조색6 14 3" xfId="2596"/>
    <cellStyle name="40% - 강조색6 14_Sheet1" xfId="2597"/>
    <cellStyle name="40% - 강조색6 15" xfId="2598"/>
    <cellStyle name="40% - 강조색6 15 2" xfId="2599"/>
    <cellStyle name="40% - 강조색6 15 3" xfId="2600"/>
    <cellStyle name="40% - 강조색6 15_Sheet1" xfId="2601"/>
    <cellStyle name="40% - 강조색6 16" xfId="2602"/>
    <cellStyle name="40% - 강조색6 16 2" xfId="2603"/>
    <cellStyle name="40% - 강조색6 16 3" xfId="2604"/>
    <cellStyle name="40% - 강조색6 16_Sheet1" xfId="2605"/>
    <cellStyle name="40% - 강조색6 17" xfId="2606"/>
    <cellStyle name="40% - 강조색6 17 2" xfId="2607"/>
    <cellStyle name="40% - 강조색6 17 3" xfId="2608"/>
    <cellStyle name="40% - 강조색6 17_Sheet1" xfId="2609"/>
    <cellStyle name="40% - 강조색6 18" xfId="2610"/>
    <cellStyle name="40% - 강조색6 18 2" xfId="2611"/>
    <cellStyle name="40% - 강조색6 18 3" xfId="2612"/>
    <cellStyle name="40% - 강조색6 18_Sheet1" xfId="2613"/>
    <cellStyle name="40% - 강조색6 19" xfId="2614"/>
    <cellStyle name="40% - 강조색6 19 2" xfId="2615"/>
    <cellStyle name="40% - 강조색6 19 3" xfId="2616"/>
    <cellStyle name="40% - 강조색6 19_Sheet1" xfId="2617"/>
    <cellStyle name="40% - 강조색6 2" xfId="2618"/>
    <cellStyle name="40% - 강조색6 20" xfId="2619"/>
    <cellStyle name="40% - 강조색6 20 2" xfId="2620"/>
    <cellStyle name="40% - 강조색6 20 3" xfId="2621"/>
    <cellStyle name="40% - 강조색6 20_Sheet1" xfId="2622"/>
    <cellStyle name="40% - 강조색6 21" xfId="2623"/>
    <cellStyle name="40% - 강조색6 21 2" xfId="2624"/>
    <cellStyle name="40% - 강조색6 21 3" xfId="2625"/>
    <cellStyle name="40% - 강조색6 21_Sheet1" xfId="2626"/>
    <cellStyle name="40% - 강조색6 22" xfId="2627"/>
    <cellStyle name="40% - 강조색6 22 2" xfId="2628"/>
    <cellStyle name="40% - 강조색6 22 3" xfId="2629"/>
    <cellStyle name="40% - 강조색6 22_Sheet1" xfId="2630"/>
    <cellStyle name="40% - 강조색6 23" xfId="2631"/>
    <cellStyle name="40% - 강조색6 23 2" xfId="2632"/>
    <cellStyle name="40% - 강조색6 23 3" xfId="2633"/>
    <cellStyle name="40% - 강조색6 23_Sheet1" xfId="2634"/>
    <cellStyle name="40% - 강조색6 24" xfId="2635"/>
    <cellStyle name="40% - 강조색6 24 2" xfId="2636"/>
    <cellStyle name="40% - 강조색6 24 3" xfId="2637"/>
    <cellStyle name="40% - 강조색6 24_Sheet1" xfId="2638"/>
    <cellStyle name="40% - 강조색6 25" xfId="2639"/>
    <cellStyle name="40% - 강조색6 25 2" xfId="2640"/>
    <cellStyle name="40% - 강조색6 25 3" xfId="2641"/>
    <cellStyle name="40% - 강조색6 25_Sheet1" xfId="2642"/>
    <cellStyle name="40% - 강조색6 26" xfId="2643"/>
    <cellStyle name="40% - 강조색6 26 2" xfId="2644"/>
    <cellStyle name="40% - 강조색6 26 3" xfId="2645"/>
    <cellStyle name="40% - 강조색6 26_Sheet1" xfId="2646"/>
    <cellStyle name="40% - 강조색6 27" xfId="2647"/>
    <cellStyle name="40% - 강조색6 27 2" xfId="2648"/>
    <cellStyle name="40% - 강조색6 27 3" xfId="2649"/>
    <cellStyle name="40% - 강조색6 27_Sheet1" xfId="2650"/>
    <cellStyle name="40% - 강조색6 28" xfId="2651"/>
    <cellStyle name="40% - 강조색6 28 2" xfId="2652"/>
    <cellStyle name="40% - 강조색6 28 3" xfId="2653"/>
    <cellStyle name="40% - 강조색6 28_Sheet1" xfId="2654"/>
    <cellStyle name="40% - 강조색6 29" xfId="2655"/>
    <cellStyle name="40% - 강조색6 29 2" xfId="2656"/>
    <cellStyle name="40% - 강조색6 29 3" xfId="2657"/>
    <cellStyle name="40% - 강조색6 29_Sheet1" xfId="2658"/>
    <cellStyle name="40% - 강조색6 3" xfId="2659"/>
    <cellStyle name="40% - 강조색6 30" xfId="2660"/>
    <cellStyle name="40% - 강조색6 30 2" xfId="2661"/>
    <cellStyle name="40% - 강조색6 30 3" xfId="2662"/>
    <cellStyle name="40% - 강조색6 30_Sheet1" xfId="2663"/>
    <cellStyle name="40% - 강조색6 31" xfId="2664"/>
    <cellStyle name="40% - 강조색6 31 2" xfId="2665"/>
    <cellStyle name="40% - 강조색6 31 3" xfId="2666"/>
    <cellStyle name="40% - 강조색6 31_Sheet1" xfId="2667"/>
    <cellStyle name="40% - 강조색6 32" xfId="2668"/>
    <cellStyle name="40% - 강조색6 32 2" xfId="2669"/>
    <cellStyle name="40% - 강조색6 32 3" xfId="2670"/>
    <cellStyle name="40% - 강조색6 32_Sheet1" xfId="2671"/>
    <cellStyle name="40% - 강조색6 33" xfId="2672"/>
    <cellStyle name="40% - 강조색6 33 2" xfId="2673"/>
    <cellStyle name="40% - 강조색6 33 3" xfId="2674"/>
    <cellStyle name="40% - 강조색6 33_Sheet1" xfId="2675"/>
    <cellStyle name="40% - 강조색6 34" xfId="2676"/>
    <cellStyle name="40% - 강조색6 34 2" xfId="2677"/>
    <cellStyle name="40% - 강조색6 34 3" xfId="2678"/>
    <cellStyle name="40% - 강조색6 34_Sheet1" xfId="2679"/>
    <cellStyle name="40% - 강조색6 35" xfId="2680"/>
    <cellStyle name="40% - 강조색6 35 2" xfId="2681"/>
    <cellStyle name="40% - 강조색6 35 3" xfId="2682"/>
    <cellStyle name="40% - 강조색6 35_Sheet1" xfId="2683"/>
    <cellStyle name="40% - 강조색6 36" xfId="2684"/>
    <cellStyle name="40% - 강조색6 36 2" xfId="2685"/>
    <cellStyle name="40% - 강조색6 36 3" xfId="2686"/>
    <cellStyle name="40% - 강조색6 36_Sheet1" xfId="2687"/>
    <cellStyle name="40% - 강조색6 37" xfId="2688"/>
    <cellStyle name="40% - 강조색6 37 2" xfId="2689"/>
    <cellStyle name="40% - 강조색6 37 3" xfId="2690"/>
    <cellStyle name="40% - 강조색6 37_Sheet1" xfId="2691"/>
    <cellStyle name="40% - 강조색6 38" xfId="2692"/>
    <cellStyle name="40% - 강조색6 38 2" xfId="2693"/>
    <cellStyle name="40% - 강조색6 38 3" xfId="2694"/>
    <cellStyle name="40% - 강조색6 38_Sheet1" xfId="2695"/>
    <cellStyle name="40% - 강조색6 39" xfId="2696"/>
    <cellStyle name="40% - 강조색6 39 2" xfId="2697"/>
    <cellStyle name="40% - 강조색6 39 3" xfId="2698"/>
    <cellStyle name="40% - 강조색6 39_Sheet1" xfId="2699"/>
    <cellStyle name="40% - 강조색6 4" xfId="2700"/>
    <cellStyle name="40% - 강조색6 40" xfId="2701"/>
    <cellStyle name="40% - 강조색6 40 2" xfId="2702"/>
    <cellStyle name="40% - 강조색6 40 3" xfId="2703"/>
    <cellStyle name="40% - 강조색6 40_Sheet1" xfId="2704"/>
    <cellStyle name="40% - 강조색6 41" xfId="2705"/>
    <cellStyle name="40% - 강조색6 41 2" xfId="2706"/>
    <cellStyle name="40% - 강조색6 41 3" xfId="2707"/>
    <cellStyle name="40% - 강조색6 41_Sheet1" xfId="2708"/>
    <cellStyle name="40% - 강조색6 42" xfId="2709"/>
    <cellStyle name="40% - 강조색6 42 2" xfId="2710"/>
    <cellStyle name="40% - 강조색6 42 3" xfId="2711"/>
    <cellStyle name="40% - 강조색6 42_Sheet1" xfId="2712"/>
    <cellStyle name="40% - 강조색6 43" xfId="2713"/>
    <cellStyle name="40% - 강조색6 43 2" xfId="2714"/>
    <cellStyle name="40% - 강조색6 43 3" xfId="2715"/>
    <cellStyle name="40% - 강조색6 43_Sheet1" xfId="2716"/>
    <cellStyle name="40% - 강조색6 44" xfId="2717"/>
    <cellStyle name="40% - 강조색6 44 2" xfId="2718"/>
    <cellStyle name="40% - 강조색6 44 3" xfId="2719"/>
    <cellStyle name="40% - 강조색6 44_Sheet1" xfId="2720"/>
    <cellStyle name="40% - 강조색6 45" xfId="2721"/>
    <cellStyle name="40% - 강조색6 45 2" xfId="2722"/>
    <cellStyle name="40% - 강조색6 45 3" xfId="2723"/>
    <cellStyle name="40% - 강조색6 45_Sheet1" xfId="2724"/>
    <cellStyle name="40% - 강조색6 46" xfId="2725"/>
    <cellStyle name="40% - 강조색6 47" xfId="2726"/>
    <cellStyle name="40% - 강조색6 48" xfId="2727"/>
    <cellStyle name="40% - 강조색6 49" xfId="2728"/>
    <cellStyle name="40% - 강조색6 5" xfId="2729"/>
    <cellStyle name="40% - 강조색6 5 2" xfId="2730"/>
    <cellStyle name="40% - 강조색6 5 3" xfId="2731"/>
    <cellStyle name="40% - 강조색6 5_Sheet1" xfId="2732"/>
    <cellStyle name="40% - 강조색6 50" xfId="2733"/>
    <cellStyle name="40% - 강조색6 51" xfId="2734"/>
    <cellStyle name="40% - 강조색6 52" xfId="2735"/>
    <cellStyle name="40% - 강조색6 53" xfId="2736"/>
    <cellStyle name="40% - 강조색6 54" xfId="2737"/>
    <cellStyle name="40% - 강조색6 55" xfId="2738"/>
    <cellStyle name="40% - 강조색6 56" xfId="2739"/>
    <cellStyle name="40% - 강조색6 57" xfId="2740"/>
    <cellStyle name="40% - 강조색6 58" xfId="2741"/>
    <cellStyle name="40% - 강조색6 59" xfId="2742"/>
    <cellStyle name="40% - 강조색6 6" xfId="2743"/>
    <cellStyle name="40% - 강조색6 6 2" xfId="2744"/>
    <cellStyle name="40% - 강조색6 6 3" xfId="2745"/>
    <cellStyle name="40% - 강조색6 6_Sheet1" xfId="2746"/>
    <cellStyle name="40% - 강조색6 60" xfId="2747"/>
    <cellStyle name="40% - 강조색6 61" xfId="2748"/>
    <cellStyle name="40% - 강조색6 62" xfId="2749"/>
    <cellStyle name="40% - 강조색6 63" xfId="2750"/>
    <cellStyle name="40% - 강조색6 64" xfId="2751"/>
    <cellStyle name="40% - 강조색6 65" xfId="2752"/>
    <cellStyle name="40% - 강조색6 66" xfId="2753"/>
    <cellStyle name="40% - 강조색6 67" xfId="2754"/>
    <cellStyle name="40% - 강조색6 68" xfId="2755"/>
    <cellStyle name="40% - 강조색6 69" xfId="2756"/>
    <cellStyle name="40% - 강조색6 7" xfId="2757"/>
    <cellStyle name="40% - 강조색6 7 2" xfId="2758"/>
    <cellStyle name="40% - 강조색6 7 3" xfId="2759"/>
    <cellStyle name="40% - 강조색6 7_Sheet1" xfId="2760"/>
    <cellStyle name="40% - 강조색6 70" xfId="2761"/>
    <cellStyle name="40% - 강조색6 71" xfId="2762"/>
    <cellStyle name="40% - 강조색6 72" xfId="2763"/>
    <cellStyle name="40% - 강조색6 73" xfId="2764"/>
    <cellStyle name="40% - 강조색6 74" xfId="2765"/>
    <cellStyle name="40% - 강조색6 75" xfId="2766"/>
    <cellStyle name="40% - 강조색6 76" xfId="2767"/>
    <cellStyle name="40% - 강조색6 77" xfId="2768"/>
    <cellStyle name="40% - 강조색6 78" xfId="2769"/>
    <cellStyle name="40% - 강조색6 79" xfId="2770"/>
    <cellStyle name="40% - 강조색6 8" xfId="2771"/>
    <cellStyle name="40% - 강조색6 8 2" xfId="2772"/>
    <cellStyle name="40% - 강조색6 8 3" xfId="2773"/>
    <cellStyle name="40% - 강조색6 8_Sheet1" xfId="2774"/>
    <cellStyle name="40% - 강조색6 80" xfId="2775"/>
    <cellStyle name="40% - 강조색6 81" xfId="2776"/>
    <cellStyle name="40% - 강조색6 82" xfId="2777"/>
    <cellStyle name="40% - 강조색6 83" xfId="2778"/>
    <cellStyle name="40% - 강조색6 84" xfId="2779"/>
    <cellStyle name="40% - 강조색6 85" xfId="2780"/>
    <cellStyle name="40% - 강조색6 86" xfId="2781"/>
    <cellStyle name="40% - 강조색6 87" xfId="2782"/>
    <cellStyle name="40% - 강조색6 88" xfId="2783"/>
    <cellStyle name="40% - 강조색6 89" xfId="2784"/>
    <cellStyle name="40% - 강조색6 9" xfId="2785"/>
    <cellStyle name="40% - 강조색6 9 2" xfId="2786"/>
    <cellStyle name="40% - 강조색6 9 3" xfId="2787"/>
    <cellStyle name="40% - 강조색6 9_Sheet1" xfId="2788"/>
    <cellStyle name="40% - 강조색6 90" xfId="2789"/>
    <cellStyle name="40% - 강조색6 91" xfId="2790"/>
    <cellStyle name="40% - 강조색6 92" xfId="2791"/>
    <cellStyle name="40% - 강조색6 93" xfId="2792"/>
    <cellStyle name="40% - 강조색6 94" xfId="2793"/>
    <cellStyle name="40% - 강조색6 95" xfId="2794"/>
    <cellStyle name="40% - 강조색6 96" xfId="2795"/>
    <cellStyle name="40% - 강조색6 97" xfId="2796"/>
    <cellStyle name="40% - 강조색6 98" xfId="2797"/>
    <cellStyle name="40% - 강조색6 99" xfId="2798"/>
    <cellStyle name="60% - 강조색1 2" xfId="2799"/>
    <cellStyle name="60% - 강조색1 3" xfId="2800"/>
    <cellStyle name="60% - 강조색1 4" xfId="2801"/>
    <cellStyle name="60% - 강조색2 2" xfId="2802"/>
    <cellStyle name="60% - 강조색2 3" xfId="2803"/>
    <cellStyle name="60% - 강조색2 4" xfId="2804"/>
    <cellStyle name="60% - 강조색3 2" xfId="2805"/>
    <cellStyle name="60% - 강조색3 3" xfId="2806"/>
    <cellStyle name="60% - 강조색3 4" xfId="2807"/>
    <cellStyle name="60% - 강조색4 2" xfId="2808"/>
    <cellStyle name="60% - 강조색4 3" xfId="2809"/>
    <cellStyle name="60% - 강조색4 4" xfId="2810"/>
    <cellStyle name="60% - 강조색5 2" xfId="2811"/>
    <cellStyle name="60% - 강조색5 3" xfId="2812"/>
    <cellStyle name="60% - 강조색5 4" xfId="2813"/>
    <cellStyle name="60% - 강조색6 2" xfId="2814"/>
    <cellStyle name="60% - 강조색6 3" xfId="2815"/>
    <cellStyle name="60% - 강조색6 4" xfId="2816"/>
    <cellStyle name="강조색1 2" xfId="2817"/>
    <cellStyle name="강조색1 3" xfId="2818"/>
    <cellStyle name="강조색1 4" xfId="2819"/>
    <cellStyle name="강조색2 2" xfId="2820"/>
    <cellStyle name="강조색2 3" xfId="2821"/>
    <cellStyle name="강조색2 4" xfId="2822"/>
    <cellStyle name="강조색3 2" xfId="2823"/>
    <cellStyle name="강조색3 3" xfId="2824"/>
    <cellStyle name="강조색3 4" xfId="2825"/>
    <cellStyle name="강조색4 2" xfId="2826"/>
    <cellStyle name="강조색4 3" xfId="2827"/>
    <cellStyle name="강조색4 4" xfId="2828"/>
    <cellStyle name="강조색5 2" xfId="2829"/>
    <cellStyle name="강조색5 3" xfId="2830"/>
    <cellStyle name="강조색5 4" xfId="2831"/>
    <cellStyle name="강조색6 2" xfId="2832"/>
    <cellStyle name="강조색6 3" xfId="2833"/>
    <cellStyle name="강조색6 4" xfId="2834"/>
    <cellStyle name="경고문 2" xfId="2835"/>
    <cellStyle name="경고문 3" xfId="2836"/>
    <cellStyle name="경고문 4" xfId="2837"/>
    <cellStyle name="계산 2" xfId="2838"/>
    <cellStyle name="계산 3" xfId="2839"/>
    <cellStyle name="계산 4" xfId="2840"/>
    <cellStyle name="나쁨 2" xfId="2841"/>
    <cellStyle name="나쁨 3" xfId="2842"/>
    <cellStyle name="나쁨 4" xfId="2843"/>
    <cellStyle name="메모 10" xfId="2844"/>
    <cellStyle name="메모 10 2" xfId="2845"/>
    <cellStyle name="메모 10 3" xfId="2846"/>
    <cellStyle name="메모 100" xfId="2847"/>
    <cellStyle name="메모 101" xfId="2848"/>
    <cellStyle name="메모 102" xfId="2849"/>
    <cellStyle name="메모 103" xfId="2850"/>
    <cellStyle name="메모 104" xfId="2851"/>
    <cellStyle name="메모 105" xfId="2852"/>
    <cellStyle name="메모 106" xfId="2853"/>
    <cellStyle name="메모 107" xfId="2854"/>
    <cellStyle name="메모 108" xfId="2855"/>
    <cellStyle name="메모 109" xfId="2856"/>
    <cellStyle name="메모 11" xfId="2857"/>
    <cellStyle name="메모 11 2" xfId="2858"/>
    <cellStyle name="메모 11 3" xfId="2859"/>
    <cellStyle name="메모 110" xfId="2860"/>
    <cellStyle name="메모 12" xfId="2861"/>
    <cellStyle name="메모 12 2" xfId="2862"/>
    <cellStyle name="메모 12 3" xfId="2863"/>
    <cellStyle name="메모 13" xfId="2864"/>
    <cellStyle name="메모 13 2" xfId="2865"/>
    <cellStyle name="메모 13 3" xfId="2866"/>
    <cellStyle name="메모 14" xfId="2867"/>
    <cellStyle name="메모 14 2" xfId="2868"/>
    <cellStyle name="메모 14 3" xfId="2869"/>
    <cellStyle name="메모 15" xfId="2870"/>
    <cellStyle name="메모 15 2" xfId="2871"/>
    <cellStyle name="메모 15 3" xfId="2872"/>
    <cellStyle name="메모 16" xfId="2873"/>
    <cellStyle name="메모 16 2" xfId="2874"/>
    <cellStyle name="메모 16 3" xfId="2875"/>
    <cellStyle name="메모 17" xfId="2876"/>
    <cellStyle name="메모 17 2" xfId="2877"/>
    <cellStyle name="메모 17 3" xfId="2878"/>
    <cellStyle name="메모 18" xfId="2879"/>
    <cellStyle name="메모 18 2" xfId="2880"/>
    <cellStyle name="메모 18 3" xfId="2881"/>
    <cellStyle name="메모 19" xfId="2882"/>
    <cellStyle name="메모 19 2" xfId="2883"/>
    <cellStyle name="메모 19 3" xfId="2884"/>
    <cellStyle name="메모 2" xfId="2885"/>
    <cellStyle name="메모 20" xfId="2886"/>
    <cellStyle name="메모 20 2" xfId="2887"/>
    <cellStyle name="메모 20 3" xfId="2888"/>
    <cellStyle name="메모 21" xfId="2889"/>
    <cellStyle name="메모 21 2" xfId="2890"/>
    <cellStyle name="메모 21 3" xfId="2891"/>
    <cellStyle name="메모 22" xfId="2892"/>
    <cellStyle name="메모 22 2" xfId="2893"/>
    <cellStyle name="메모 22 3" xfId="2894"/>
    <cellStyle name="메모 23" xfId="2895"/>
    <cellStyle name="메모 23 2" xfId="2896"/>
    <cellStyle name="메모 23 3" xfId="2897"/>
    <cellStyle name="메모 24" xfId="2898"/>
    <cellStyle name="메모 24 2" xfId="2899"/>
    <cellStyle name="메모 24 3" xfId="2900"/>
    <cellStyle name="메모 25" xfId="2901"/>
    <cellStyle name="메모 25 2" xfId="2902"/>
    <cellStyle name="메모 25 3" xfId="2903"/>
    <cellStyle name="메모 26" xfId="2904"/>
    <cellStyle name="메모 26 2" xfId="2905"/>
    <cellStyle name="메모 26 3" xfId="2906"/>
    <cellStyle name="메모 27" xfId="2907"/>
    <cellStyle name="메모 27 2" xfId="2908"/>
    <cellStyle name="메모 27 3" xfId="2909"/>
    <cellStyle name="메모 28" xfId="2910"/>
    <cellStyle name="메모 28 2" xfId="2911"/>
    <cellStyle name="메모 28 3" xfId="2912"/>
    <cellStyle name="메모 29" xfId="2913"/>
    <cellStyle name="메모 29 2" xfId="2914"/>
    <cellStyle name="메모 29 3" xfId="2915"/>
    <cellStyle name="메모 3" xfId="2916"/>
    <cellStyle name="메모 30" xfId="2917"/>
    <cellStyle name="메모 30 2" xfId="2918"/>
    <cellStyle name="메모 30 3" xfId="2919"/>
    <cellStyle name="메모 31" xfId="2920"/>
    <cellStyle name="메모 31 2" xfId="2921"/>
    <cellStyle name="메모 31 3" xfId="2922"/>
    <cellStyle name="메모 32" xfId="2923"/>
    <cellStyle name="메모 32 2" xfId="2924"/>
    <cellStyle name="메모 32 3" xfId="2925"/>
    <cellStyle name="메모 33" xfId="2926"/>
    <cellStyle name="메모 33 2" xfId="2927"/>
    <cellStyle name="메모 33 3" xfId="2928"/>
    <cellStyle name="메모 34" xfId="2929"/>
    <cellStyle name="메모 34 2" xfId="2930"/>
    <cellStyle name="메모 34 3" xfId="2931"/>
    <cellStyle name="메모 35" xfId="2932"/>
    <cellStyle name="메모 35 2" xfId="2933"/>
    <cellStyle name="메모 35 3" xfId="2934"/>
    <cellStyle name="메모 36" xfId="2935"/>
    <cellStyle name="메모 36 2" xfId="2936"/>
    <cellStyle name="메모 36 3" xfId="2937"/>
    <cellStyle name="메모 37" xfId="2938"/>
    <cellStyle name="메모 37 2" xfId="2939"/>
    <cellStyle name="메모 37 3" xfId="2940"/>
    <cellStyle name="메모 38" xfId="2941"/>
    <cellStyle name="메모 38 2" xfId="2942"/>
    <cellStyle name="메모 38 3" xfId="2943"/>
    <cellStyle name="메모 39" xfId="2944"/>
    <cellStyle name="메모 39 2" xfId="2945"/>
    <cellStyle name="메모 39 3" xfId="2946"/>
    <cellStyle name="메모 4" xfId="2947"/>
    <cellStyle name="메모 40" xfId="2948"/>
    <cellStyle name="메모 40 2" xfId="2949"/>
    <cellStyle name="메모 40 3" xfId="2950"/>
    <cellStyle name="메모 41" xfId="2951"/>
    <cellStyle name="메모 41 2" xfId="2952"/>
    <cellStyle name="메모 41 3" xfId="2953"/>
    <cellStyle name="메모 42" xfId="2954"/>
    <cellStyle name="메모 42 2" xfId="2955"/>
    <cellStyle name="메모 42 3" xfId="2956"/>
    <cellStyle name="메모 43" xfId="2957"/>
    <cellStyle name="메모 43 2" xfId="2958"/>
    <cellStyle name="메모 43 3" xfId="2959"/>
    <cellStyle name="메모 44" xfId="2960"/>
    <cellStyle name="메모 44 2" xfId="2961"/>
    <cellStyle name="메모 44 3" xfId="2962"/>
    <cellStyle name="메모 45" xfId="2963"/>
    <cellStyle name="메모 45 2" xfId="2964"/>
    <cellStyle name="메모 45 3" xfId="2965"/>
    <cellStyle name="메모 46" xfId="2966"/>
    <cellStyle name="메모 46 2" xfId="2967"/>
    <cellStyle name="메모 46 3" xfId="2968"/>
    <cellStyle name="메모 47" xfId="2969"/>
    <cellStyle name="메모 48" xfId="2970"/>
    <cellStyle name="메모 49" xfId="2971"/>
    <cellStyle name="메모 5" xfId="2972"/>
    <cellStyle name="메모 5 2" xfId="2973"/>
    <cellStyle name="메모 5 3" xfId="2974"/>
    <cellStyle name="메모 50" xfId="2975"/>
    <cellStyle name="메모 51" xfId="2976"/>
    <cellStyle name="메모 52" xfId="2977"/>
    <cellStyle name="메모 53" xfId="2978"/>
    <cellStyle name="메모 54" xfId="2979"/>
    <cellStyle name="메모 55" xfId="2980"/>
    <cellStyle name="메모 56" xfId="2981"/>
    <cellStyle name="메모 57" xfId="2982"/>
    <cellStyle name="메모 58" xfId="2983"/>
    <cellStyle name="메모 59" xfId="2984"/>
    <cellStyle name="메모 6" xfId="2985"/>
    <cellStyle name="메모 6 2" xfId="2986"/>
    <cellStyle name="메모 6 3" xfId="2987"/>
    <cellStyle name="메모 60" xfId="2988"/>
    <cellStyle name="메모 61" xfId="2989"/>
    <cellStyle name="메모 62" xfId="2990"/>
    <cellStyle name="메모 63" xfId="2991"/>
    <cellStyle name="메모 64" xfId="2992"/>
    <cellStyle name="메모 65" xfId="2993"/>
    <cellStyle name="메모 66" xfId="2994"/>
    <cellStyle name="메모 67" xfId="2995"/>
    <cellStyle name="메모 68" xfId="2996"/>
    <cellStyle name="메모 69" xfId="2997"/>
    <cellStyle name="메모 7" xfId="2998"/>
    <cellStyle name="메모 7 2" xfId="2999"/>
    <cellStyle name="메모 7 3" xfId="3000"/>
    <cellStyle name="메모 70" xfId="3001"/>
    <cellStyle name="메모 71" xfId="3002"/>
    <cellStyle name="메모 72" xfId="3003"/>
    <cellStyle name="메모 73" xfId="3004"/>
    <cellStyle name="메모 74" xfId="3005"/>
    <cellStyle name="메모 75" xfId="3006"/>
    <cellStyle name="메모 76" xfId="3007"/>
    <cellStyle name="메모 77" xfId="3008"/>
    <cellStyle name="메모 78" xfId="3009"/>
    <cellStyle name="메모 79" xfId="3010"/>
    <cellStyle name="메모 8" xfId="3011"/>
    <cellStyle name="메모 8 2" xfId="3012"/>
    <cellStyle name="메모 8 3" xfId="3013"/>
    <cellStyle name="메모 80" xfId="3014"/>
    <cellStyle name="메모 81" xfId="3015"/>
    <cellStyle name="메모 82" xfId="3016"/>
    <cellStyle name="메모 83" xfId="3017"/>
    <cellStyle name="메모 84" xfId="3018"/>
    <cellStyle name="메모 85" xfId="3019"/>
    <cellStyle name="메모 86" xfId="3020"/>
    <cellStyle name="메모 87" xfId="3021"/>
    <cellStyle name="메모 88" xfId="3022"/>
    <cellStyle name="메모 89" xfId="3023"/>
    <cellStyle name="메모 9" xfId="3024"/>
    <cellStyle name="메모 9 2" xfId="3025"/>
    <cellStyle name="메모 9 3" xfId="3026"/>
    <cellStyle name="메모 90" xfId="3027"/>
    <cellStyle name="메모 91" xfId="3028"/>
    <cellStyle name="메모 92" xfId="3029"/>
    <cellStyle name="메모 93" xfId="3030"/>
    <cellStyle name="메모 94" xfId="3031"/>
    <cellStyle name="메모 95" xfId="3032"/>
    <cellStyle name="메모 96" xfId="3033"/>
    <cellStyle name="메모 97" xfId="3034"/>
    <cellStyle name="메모 98" xfId="3035"/>
    <cellStyle name="메모 99" xfId="3036"/>
    <cellStyle name="보통 2" xfId="3037"/>
    <cellStyle name="보통 3" xfId="3038"/>
    <cellStyle name="보통 4" xfId="3039"/>
    <cellStyle name="설명 텍스트 2" xfId="3040"/>
    <cellStyle name="설명 텍스트 3" xfId="3041"/>
    <cellStyle name="설명 텍스트 4" xfId="3042"/>
    <cellStyle name="셀 확인 2" xfId="3043"/>
    <cellStyle name="셀 확인 3" xfId="3044"/>
    <cellStyle name="셀 확인 4" xfId="3045"/>
    <cellStyle name="쉼표 [0]" xfId="1" builtinId="6"/>
    <cellStyle name="연결된 셀 2" xfId="3046"/>
    <cellStyle name="연결된 셀 3" xfId="3047"/>
    <cellStyle name="연결된 셀 4" xfId="3048"/>
    <cellStyle name="요약 2" xfId="3049"/>
    <cellStyle name="요약 3" xfId="3050"/>
    <cellStyle name="요약 4" xfId="3051"/>
    <cellStyle name="입력 2" xfId="3052"/>
    <cellStyle name="입력 3" xfId="3053"/>
    <cellStyle name="입력 4" xfId="3054"/>
    <cellStyle name="제목 1 2" xfId="3055"/>
    <cellStyle name="제목 1 3" xfId="3056"/>
    <cellStyle name="제목 1 4" xfId="3057"/>
    <cellStyle name="제목 2 2" xfId="3058"/>
    <cellStyle name="제목 2 3" xfId="3059"/>
    <cellStyle name="제목 2 4" xfId="3060"/>
    <cellStyle name="제목 3 2" xfId="3061"/>
    <cellStyle name="제목 3 3" xfId="3062"/>
    <cellStyle name="제목 3 4" xfId="3063"/>
    <cellStyle name="제목 4 2" xfId="3064"/>
    <cellStyle name="제목 4 3" xfId="3065"/>
    <cellStyle name="제목 4 4" xfId="3066"/>
    <cellStyle name="제목 5" xfId="3067"/>
    <cellStyle name="제목 6" xfId="3068"/>
    <cellStyle name="제목 7" xfId="3069"/>
    <cellStyle name="좋음 2" xfId="3070"/>
    <cellStyle name="좋음 3" xfId="3071"/>
    <cellStyle name="좋음 4" xfId="3072"/>
    <cellStyle name="출력 2" xfId="3073"/>
    <cellStyle name="출력 3" xfId="3074"/>
    <cellStyle name="출력 4" xfId="3075"/>
    <cellStyle name="표준" xfId="0" builtinId="0"/>
    <cellStyle name="표준 10" xfId="3076"/>
    <cellStyle name="표준 100" xfId="3077"/>
    <cellStyle name="표준 101" xfId="3078"/>
    <cellStyle name="표준 102" xfId="3079"/>
    <cellStyle name="표준 103" xfId="3080"/>
    <cellStyle name="표준 104" xfId="3081"/>
    <cellStyle name="표준 105" xfId="3082"/>
    <cellStyle name="표준 106" xfId="3083"/>
    <cellStyle name="표준 107" xfId="3084"/>
    <cellStyle name="표준 108" xfId="3085"/>
    <cellStyle name="표준 109" xfId="3086"/>
    <cellStyle name="표준 11" xfId="3087"/>
    <cellStyle name="표준 110" xfId="3088"/>
    <cellStyle name="표준 111" xfId="3089"/>
    <cellStyle name="표준 12" xfId="3090"/>
    <cellStyle name="표준 13" xfId="3091"/>
    <cellStyle name="표준 14" xfId="3092"/>
    <cellStyle name="표준 15" xfId="3093"/>
    <cellStyle name="표준 16" xfId="3094"/>
    <cellStyle name="표준 17" xfId="3095"/>
    <cellStyle name="표준 18" xfId="3096"/>
    <cellStyle name="표준 19" xfId="3097"/>
    <cellStyle name="표준 2" xfId="3186"/>
    <cellStyle name="표준 2 2" xfId="3098"/>
    <cellStyle name="표준 20" xfId="3099"/>
    <cellStyle name="표준 21" xfId="3100"/>
    <cellStyle name="표준 22" xfId="3101"/>
    <cellStyle name="표준 23" xfId="3102"/>
    <cellStyle name="표준 24" xfId="3103"/>
    <cellStyle name="표준 25" xfId="3104"/>
    <cellStyle name="표준 26" xfId="3105"/>
    <cellStyle name="표준 27" xfId="3106"/>
    <cellStyle name="표준 28" xfId="3107"/>
    <cellStyle name="표준 29" xfId="3108"/>
    <cellStyle name="표준 3" xfId="3109"/>
    <cellStyle name="표준 30" xfId="3110"/>
    <cellStyle name="표준 31" xfId="3111"/>
    <cellStyle name="표준 32" xfId="3112"/>
    <cellStyle name="표준 33" xfId="3113"/>
    <cellStyle name="표준 34" xfId="3114"/>
    <cellStyle name="표준 35" xfId="3115"/>
    <cellStyle name="표준 36" xfId="3116"/>
    <cellStyle name="표준 37" xfId="3117"/>
    <cellStyle name="표준 38" xfId="3118"/>
    <cellStyle name="표준 39" xfId="3119"/>
    <cellStyle name="표준 4" xfId="3120"/>
    <cellStyle name="표준 40" xfId="3121"/>
    <cellStyle name="표준 41" xfId="3122"/>
    <cellStyle name="표준 42" xfId="3123"/>
    <cellStyle name="표준 43" xfId="3124"/>
    <cellStyle name="표준 44" xfId="3125"/>
    <cellStyle name="표준 45" xfId="3126"/>
    <cellStyle name="표준 46" xfId="3127"/>
    <cellStyle name="표준 47" xfId="3128"/>
    <cellStyle name="표준 48" xfId="3129"/>
    <cellStyle name="표준 49" xfId="3130"/>
    <cellStyle name="표준 5" xfId="3131"/>
    <cellStyle name="표준 50" xfId="3132"/>
    <cellStyle name="표준 51" xfId="3133"/>
    <cellStyle name="표준 52" xfId="3134"/>
    <cellStyle name="표준 53" xfId="3135"/>
    <cellStyle name="표준 54" xfId="3136"/>
    <cellStyle name="표준 55" xfId="3137"/>
    <cellStyle name="표준 56" xfId="3138"/>
    <cellStyle name="표준 57" xfId="3139"/>
    <cellStyle name="표준 58" xfId="3140"/>
    <cellStyle name="표준 59" xfId="3141"/>
    <cellStyle name="표준 6" xfId="3142"/>
    <cellStyle name="표준 60" xfId="3143"/>
    <cellStyle name="표준 61" xfId="3144"/>
    <cellStyle name="표준 62" xfId="3145"/>
    <cellStyle name="표준 63" xfId="3146"/>
    <cellStyle name="표준 64" xfId="3147"/>
    <cellStyle name="표준 65" xfId="3148"/>
    <cellStyle name="표준 66" xfId="3149"/>
    <cellStyle name="표준 67" xfId="3150"/>
    <cellStyle name="표준 68" xfId="3151"/>
    <cellStyle name="표준 69" xfId="3152"/>
    <cellStyle name="표준 7" xfId="3153"/>
    <cellStyle name="표준 70" xfId="3154"/>
    <cellStyle name="표준 71" xfId="3155"/>
    <cellStyle name="표준 72" xfId="3156"/>
    <cellStyle name="표준 73" xfId="3157"/>
    <cellStyle name="표준 74" xfId="3158"/>
    <cellStyle name="표준 75" xfId="3159"/>
    <cellStyle name="표준 76" xfId="3160"/>
    <cellStyle name="표준 77" xfId="3161"/>
    <cellStyle name="표준 78" xfId="3162"/>
    <cellStyle name="표준 79" xfId="3163"/>
    <cellStyle name="표준 8" xfId="3164"/>
    <cellStyle name="표준 80" xfId="3165"/>
    <cellStyle name="표준 81" xfId="3166"/>
    <cellStyle name="표준 82" xfId="3167"/>
    <cellStyle name="표준 83" xfId="3168"/>
    <cellStyle name="표준 84" xfId="3169"/>
    <cellStyle name="표준 85" xfId="3170"/>
    <cellStyle name="표준 86" xfId="3171"/>
    <cellStyle name="표준 87" xfId="3172"/>
    <cellStyle name="표준 88" xfId="3173"/>
    <cellStyle name="표준 89" xfId="3174"/>
    <cellStyle name="표준 9" xfId="3175"/>
    <cellStyle name="표준 90" xfId="3176"/>
    <cellStyle name="표준 91" xfId="3177"/>
    <cellStyle name="표준 92" xfId="3178"/>
    <cellStyle name="표준 93" xfId="3179"/>
    <cellStyle name="표준 94" xfId="3180"/>
    <cellStyle name="표준 95" xfId="3181"/>
    <cellStyle name="표준 96" xfId="3182"/>
    <cellStyle name="표준 97" xfId="3183"/>
    <cellStyle name="표준 98" xfId="3184"/>
    <cellStyle name="표준 99" xfId="3185"/>
    <cellStyle name="표준_Sheet1_1" xfId="2"/>
  </cellStyles>
  <dxfs count="0"/>
  <tableStyles count="0" defaultTableStyle="TableStyleMedium9" defaultPivotStyle="PivotStyleLight16"/>
  <colors>
    <mruColors>
      <color rgb="FFFFCCFF"/>
      <color rgb="FFCCCCFF"/>
      <color rgb="FFFFFFCC"/>
      <color rgb="FFFFCC99"/>
      <color rgb="FF0000FF"/>
      <color rgb="FF99CC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0696;&#44552;&#50689;&#50629;&#44284;\&#50696;&#49328;\2015\&#50672;&#47568;\&#51652;&#51676;%2011&#50900;&#47568;\15.11.30.&#52509;&#44292;&#44397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종합점수"/>
      <sheetName val="예금수익성"/>
      <sheetName val="수신고 (2)"/>
      <sheetName val="수신고"/>
      <sheetName val="체크카드"/>
      <sheetName val="스마트"/>
      <sheetName val="수수료"/>
      <sheetName val="우수고객"/>
    </sheetNames>
    <sheetDataSet>
      <sheetData sheetId="0">
        <row r="2">
          <cell r="A2">
            <v>42338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F121"/>
  <sheetViews>
    <sheetView tabSelected="1" workbookViewId="0">
      <selection activeCell="D11" sqref="D11"/>
    </sheetView>
  </sheetViews>
  <sheetFormatPr defaultRowHeight="16.5"/>
  <cols>
    <col min="1" max="1" width="1.625" style="1" customWidth="1"/>
    <col min="2" max="2" width="11.875" style="2" customWidth="1"/>
    <col min="3" max="3" width="14.625" style="2" customWidth="1"/>
    <col min="4" max="4" width="14.625" style="13" customWidth="1"/>
    <col min="5" max="5" width="14.625" style="2" customWidth="1"/>
    <col min="6" max="7" width="17.875" style="2" customWidth="1"/>
    <col min="8" max="8" width="17.375" style="1" customWidth="1"/>
    <col min="9" max="9" width="9" style="15"/>
    <col min="10" max="10" width="11.25" style="15" bestFit="1" customWidth="1"/>
    <col min="11" max="32" width="9" style="15"/>
    <col min="33" max="16384" width="9" style="1"/>
  </cols>
  <sheetData>
    <row r="1" spans="2:10" ht="4.5" customHeight="1" thickBot="1"/>
    <row r="2" spans="2:10" ht="40.5" customHeight="1" thickBot="1">
      <c r="B2" s="431" t="s">
        <v>267</v>
      </c>
      <c r="C2" s="432"/>
      <c r="D2" s="432"/>
      <c r="E2" s="432"/>
      <c r="F2" s="432"/>
      <c r="G2" s="432"/>
      <c r="H2" s="433"/>
    </row>
    <row r="3" spans="2:10" ht="19.5" customHeight="1" thickBot="1">
      <c r="B3" s="27"/>
      <c r="C3" s="27"/>
      <c r="D3" s="32"/>
      <c r="E3" s="27"/>
      <c r="F3" s="27"/>
      <c r="G3" s="27"/>
      <c r="H3" s="38" t="s">
        <v>117</v>
      </c>
    </row>
    <row r="4" spans="2:10" ht="39" customHeight="1">
      <c r="B4" s="436" t="s">
        <v>115</v>
      </c>
      <c r="C4" s="434" t="s">
        <v>237</v>
      </c>
      <c r="D4" s="435"/>
      <c r="E4" s="435"/>
      <c r="F4" s="367" t="s">
        <v>235</v>
      </c>
      <c r="G4" s="367" t="s">
        <v>236</v>
      </c>
      <c r="H4" s="438" t="s">
        <v>86</v>
      </c>
    </row>
    <row r="5" spans="2:10" ht="39" customHeight="1">
      <c r="B5" s="437"/>
      <c r="C5" s="23" t="s">
        <v>87</v>
      </c>
      <c r="D5" s="23" t="s">
        <v>88</v>
      </c>
      <c r="E5" s="22" t="s">
        <v>89</v>
      </c>
      <c r="F5" s="346" t="s">
        <v>208</v>
      </c>
      <c r="G5" s="346" t="s">
        <v>209</v>
      </c>
      <c r="H5" s="439"/>
    </row>
    <row r="6" spans="2:10" ht="18" customHeight="1">
      <c r="B6" s="26" t="s">
        <v>4</v>
      </c>
      <c r="C6" s="24">
        <f>VLOOKUP($B6,'평가 내역 세부자료'!$A$5:$Y$46,19,FALSE)</f>
        <v>5125</v>
      </c>
      <c r="D6" s="24">
        <f>VLOOKUP($B6,'평가 내역 세부자료'!$A$5:$Y$46,20,FALSE)</f>
        <v>1438</v>
      </c>
      <c r="E6" s="24">
        <f>SUM(C6:D6)</f>
        <v>6563</v>
      </c>
      <c r="F6" s="345">
        <f>VLOOKUP($B6,'평가 내역 세부자료'!$A$5:$Y$46,25,FALSE)</f>
        <v>0</v>
      </c>
      <c r="G6" s="345">
        <f>VLOOKUP($B6,'평가 내역 세부자료'!$A$5:$Y$46,21,FALSE)</f>
        <v>1000</v>
      </c>
      <c r="H6" s="393" t="s">
        <v>262</v>
      </c>
      <c r="J6" s="28"/>
    </row>
    <row r="7" spans="2:10" ht="18" customHeight="1">
      <c r="B7" s="26" t="s">
        <v>5</v>
      </c>
      <c r="C7" s="24">
        <f>VLOOKUP($B7,'평가 내역 세부자료'!$A$5:$Y$46,19,FALSE)</f>
        <v>3913</v>
      </c>
      <c r="D7" s="24">
        <f>VLOOKUP($B7,'평가 내역 세부자료'!$A$5:$Y$46,20,FALSE)</f>
        <v>1098</v>
      </c>
      <c r="E7" s="24">
        <f t="shared" ref="E7:E46" si="0">SUM(C7:D7)</f>
        <v>5011</v>
      </c>
      <c r="F7" s="345">
        <f>VLOOKUP($B7,'평가 내역 세부자료'!$A$5:$Y$46,25,FALSE)</f>
        <v>1000</v>
      </c>
      <c r="G7" s="345">
        <f>VLOOKUP($B7,'평가 내역 세부자료'!$A$5:$Y$46,21,FALSE)</f>
        <v>0</v>
      </c>
      <c r="H7" s="393" t="s">
        <v>262</v>
      </c>
      <c r="J7" s="28"/>
    </row>
    <row r="8" spans="2:10" ht="18" customHeight="1">
      <c r="B8" s="26" t="s">
        <v>6</v>
      </c>
      <c r="C8" s="24">
        <f>VLOOKUP($B8,'평가 내역 세부자료'!$A$5:$Y$46,19,FALSE)</f>
        <v>2660</v>
      </c>
      <c r="D8" s="24">
        <f>VLOOKUP($B8,'평가 내역 세부자료'!$A$5:$Y$46,20,FALSE)</f>
        <v>746</v>
      </c>
      <c r="E8" s="24">
        <f t="shared" si="0"/>
        <v>3406</v>
      </c>
      <c r="F8" s="345">
        <f>VLOOKUP($B8,'평가 내역 세부자료'!$A$5:$Y$46,25,FALSE)</f>
        <v>720</v>
      </c>
      <c r="G8" s="345">
        <f>VLOOKUP($B8,'평가 내역 세부자료'!$A$5:$Y$46,21,FALSE)</f>
        <v>0</v>
      </c>
      <c r="H8" s="393"/>
      <c r="J8" s="28"/>
    </row>
    <row r="9" spans="2:10" ht="18" customHeight="1">
      <c r="B9" s="26" t="s">
        <v>7</v>
      </c>
      <c r="C9" s="24">
        <f>VLOOKUP($B9,'남인천과 인천남동 예산 배정 세부내역'!$A$40:$E$42,4,FALSE)</f>
        <v>4257</v>
      </c>
      <c r="D9" s="24">
        <f>VLOOKUP($B9,'남인천과 인천남동 예산 배정 세부내역'!$A$40:$E$42,5,FALSE)</f>
        <v>1194</v>
      </c>
      <c r="E9" s="24">
        <f t="shared" si="0"/>
        <v>5451</v>
      </c>
      <c r="F9" s="345">
        <f>VLOOKUP($B9,'평가 내역 세부자료'!$A$5:$Y$46,25,FALSE)</f>
        <v>1000</v>
      </c>
      <c r="G9" s="345">
        <f>VLOOKUP($B9,'평가 내역 세부자료'!$A$5:$Y$46,21,FALSE)</f>
        <v>1000</v>
      </c>
      <c r="H9" s="393" t="s">
        <v>253</v>
      </c>
      <c r="J9" s="28"/>
    </row>
    <row r="10" spans="2:10" ht="18" customHeight="1">
      <c r="B10" s="26" t="s">
        <v>90</v>
      </c>
      <c r="C10" s="24">
        <f>VLOOKUP($B10,'남인천과 인천남동 예산 배정 세부내역'!$A$40:$E$42,4,FALSE)</f>
        <v>3547</v>
      </c>
      <c r="D10" s="24">
        <f>VLOOKUP($B10,'남인천과 인천남동 예산 배정 세부내역'!$A$40:$E$42,5,FALSE)</f>
        <v>995</v>
      </c>
      <c r="E10" s="24">
        <f t="shared" si="0"/>
        <v>4542</v>
      </c>
      <c r="F10" s="345">
        <f>VLOOKUP($B10,'평가 내역 세부자료'!$A$5:$Y$46,25,FALSE)</f>
        <v>720</v>
      </c>
      <c r="G10" s="345">
        <f>VLOOKUP($B10,'평가 내역 세부자료'!$A$5:$Y$46,21,FALSE)</f>
        <v>0</v>
      </c>
      <c r="H10" s="393"/>
      <c r="J10" s="28"/>
    </row>
    <row r="11" spans="2:10" ht="18" customHeight="1">
      <c r="B11" s="26" t="s">
        <v>91</v>
      </c>
      <c r="C11" s="24">
        <f>VLOOKUP($B11,'평가 내역 세부자료'!$A$5:$Y$46,19,FALSE)</f>
        <v>4148</v>
      </c>
      <c r="D11" s="24">
        <f>VLOOKUP($B11,'평가 내역 세부자료'!$A$5:$Y$46,20,FALSE)</f>
        <v>1164</v>
      </c>
      <c r="E11" s="24">
        <f t="shared" si="0"/>
        <v>5312</v>
      </c>
      <c r="F11" s="345">
        <f>VLOOKUP($B11,'평가 내역 세부자료'!$A$5:$Y$46,25,FALSE)</f>
        <v>720</v>
      </c>
      <c r="G11" s="345">
        <f>VLOOKUP($B11,'평가 내역 세부자료'!$A$5:$Y$46,21,FALSE)</f>
        <v>0</v>
      </c>
      <c r="H11" s="393"/>
      <c r="J11" s="28"/>
    </row>
    <row r="12" spans="2:10" ht="18" customHeight="1">
      <c r="B12" s="26" t="s">
        <v>92</v>
      </c>
      <c r="C12" s="24">
        <f>VLOOKUP($B12,'평가 내역 세부자료'!$A$5:$Y$46,19,FALSE)</f>
        <v>5172</v>
      </c>
      <c r="D12" s="24">
        <f>VLOOKUP($B12,'평가 내역 세부자료'!$A$5:$Y$46,20,FALSE)</f>
        <v>1451</v>
      </c>
      <c r="E12" s="24">
        <f t="shared" si="0"/>
        <v>6623</v>
      </c>
      <c r="F12" s="345">
        <f>VLOOKUP($B12,'평가 내역 세부자료'!$A$5:$Y$46,25,FALSE)</f>
        <v>720</v>
      </c>
      <c r="G12" s="345">
        <f>VLOOKUP($B12,'평가 내역 세부자료'!$A$5:$Y$46,21,FALSE)</f>
        <v>0</v>
      </c>
      <c r="H12" s="393"/>
      <c r="J12" s="28"/>
    </row>
    <row r="13" spans="2:10" ht="18" customHeight="1">
      <c r="B13" s="26" t="s">
        <v>93</v>
      </c>
      <c r="C13" s="24">
        <f>VLOOKUP($B13,'평가 내역 세부자료'!$A$5:$Y$46,19,FALSE)</f>
        <v>4541</v>
      </c>
      <c r="D13" s="24">
        <f>VLOOKUP($B13,'평가 내역 세부자료'!$A$5:$Y$46,20,FALSE)</f>
        <v>1274</v>
      </c>
      <c r="E13" s="24">
        <f t="shared" si="0"/>
        <v>5815</v>
      </c>
      <c r="F13" s="345">
        <f>VLOOKUP($B13,'평가 내역 세부자료'!$A$5:$Y$46,25,FALSE)</f>
        <v>720</v>
      </c>
      <c r="G13" s="345">
        <f>VLOOKUP($B13,'평가 내역 세부자료'!$A$5:$Y$46,21,FALSE)</f>
        <v>0</v>
      </c>
      <c r="H13" s="393"/>
      <c r="J13" s="28"/>
    </row>
    <row r="14" spans="2:10" ht="18" customHeight="1">
      <c r="B14" s="26" t="s">
        <v>94</v>
      </c>
      <c r="C14" s="24">
        <f>VLOOKUP($B14,'평가 내역 세부자료'!$A$5:$Y$46,19,FALSE)</f>
        <v>3740</v>
      </c>
      <c r="D14" s="24">
        <f>VLOOKUP($B14,'평가 내역 세부자료'!$A$5:$Y$46,20,FALSE)</f>
        <v>1049</v>
      </c>
      <c r="E14" s="24">
        <f t="shared" si="0"/>
        <v>4789</v>
      </c>
      <c r="F14" s="345">
        <f>VLOOKUP($B14,'평가 내역 세부자료'!$A$5:$Y$46,25,FALSE)</f>
        <v>1000</v>
      </c>
      <c r="G14" s="345">
        <f>VLOOKUP($B14,'평가 내역 세부자료'!$A$5:$Y$46,21,FALSE)</f>
        <v>0</v>
      </c>
      <c r="H14" s="393" t="s">
        <v>262</v>
      </c>
      <c r="J14" s="28"/>
    </row>
    <row r="15" spans="2:10" ht="18" customHeight="1">
      <c r="B15" s="26" t="s">
        <v>95</v>
      </c>
      <c r="C15" s="24">
        <f>VLOOKUP($B15,'평가 내역 세부자료'!$A$5:$Y$46,19,FALSE)</f>
        <v>1946</v>
      </c>
      <c r="D15" s="24">
        <f>VLOOKUP($B15,'평가 내역 세부자료'!$A$5:$Y$46,20,FALSE)</f>
        <v>546</v>
      </c>
      <c r="E15" s="24">
        <f t="shared" si="0"/>
        <v>2492</v>
      </c>
      <c r="F15" s="345">
        <f>VLOOKUP($B15,'평가 내역 세부자료'!$A$5:$Y$46,25,FALSE)</f>
        <v>720</v>
      </c>
      <c r="G15" s="345">
        <f>VLOOKUP($B15,'평가 내역 세부자료'!$A$5:$Y$46,21,FALSE)</f>
        <v>0</v>
      </c>
      <c r="H15" s="393"/>
      <c r="J15" s="28"/>
    </row>
    <row r="16" spans="2:10" ht="18" customHeight="1">
      <c r="B16" s="26" t="s">
        <v>13</v>
      </c>
      <c r="C16" s="24">
        <f>VLOOKUP($B16,'평가 내역 세부자료'!$A$5:$Y$46,19,FALSE)</f>
        <v>2865</v>
      </c>
      <c r="D16" s="24">
        <f>VLOOKUP($B16,'평가 내역 세부자료'!$A$5:$Y$46,20,FALSE)</f>
        <v>804</v>
      </c>
      <c r="E16" s="24">
        <f t="shared" si="0"/>
        <v>3669</v>
      </c>
      <c r="F16" s="345">
        <f>VLOOKUP($B16,'평가 내역 세부자료'!$A$5:$Y$46,25,FALSE)</f>
        <v>720</v>
      </c>
      <c r="G16" s="345">
        <f>VLOOKUP($B16,'평가 내역 세부자료'!$A$5:$Y$46,21,FALSE)</f>
        <v>0</v>
      </c>
      <c r="H16" s="393"/>
      <c r="J16" s="28"/>
    </row>
    <row r="17" spans="2:10" ht="18" customHeight="1">
      <c r="B17" s="26" t="s">
        <v>14</v>
      </c>
      <c r="C17" s="24">
        <f>VLOOKUP($B17,'평가 내역 세부자료'!$A$5:$Y$46,19,FALSE)</f>
        <v>4847</v>
      </c>
      <c r="D17" s="24">
        <f>VLOOKUP($B17,'평가 내역 세부자료'!$A$5:$Y$46,20,FALSE)</f>
        <v>1360</v>
      </c>
      <c r="E17" s="24">
        <f t="shared" si="0"/>
        <v>6207</v>
      </c>
      <c r="F17" s="345">
        <f>VLOOKUP($B17,'평가 내역 세부자료'!$A$5:$Y$46,25,FALSE)</f>
        <v>0</v>
      </c>
      <c r="G17" s="345">
        <f>VLOOKUP($B17,'평가 내역 세부자료'!$A$5:$Y$46,21,FALSE)</f>
        <v>2000</v>
      </c>
      <c r="H17" s="412" t="s">
        <v>258</v>
      </c>
      <c r="J17" s="28"/>
    </row>
    <row r="18" spans="2:10" ht="18" customHeight="1">
      <c r="B18" s="26" t="s">
        <v>15</v>
      </c>
      <c r="C18" s="24">
        <f>VLOOKUP($B18,'평가 내역 세부자료'!$A$5:$Y$46,19,FALSE)</f>
        <v>5454</v>
      </c>
      <c r="D18" s="24">
        <f>VLOOKUP($B18,'평가 내역 세부자료'!$A$5:$Y$46,20,FALSE)</f>
        <v>1530</v>
      </c>
      <c r="E18" s="24">
        <f t="shared" si="0"/>
        <v>6984</v>
      </c>
      <c r="F18" s="345">
        <f>VLOOKUP($B18,'평가 내역 세부자료'!$A$5:$Y$46,25,FALSE)</f>
        <v>0</v>
      </c>
      <c r="G18" s="345">
        <f>VLOOKUP($B18,'평가 내역 세부자료'!$A$5:$Y$46,21,FALSE)</f>
        <v>1000</v>
      </c>
      <c r="H18" s="393" t="s">
        <v>262</v>
      </c>
      <c r="J18" s="28"/>
    </row>
    <row r="19" spans="2:10" ht="18" customHeight="1">
      <c r="B19" s="26" t="s">
        <v>16</v>
      </c>
      <c r="C19" s="24">
        <f>VLOOKUP($B19,'평가 내역 세부자료'!$A$5:$Y$46,19,FALSE)</f>
        <v>4617</v>
      </c>
      <c r="D19" s="24">
        <f>VLOOKUP($B19,'평가 내역 세부자료'!$A$5:$Y$46,20,FALSE)</f>
        <v>1295</v>
      </c>
      <c r="E19" s="24">
        <f t="shared" si="0"/>
        <v>5912</v>
      </c>
      <c r="F19" s="345">
        <f>VLOOKUP($B19,'평가 내역 세부자료'!$A$5:$Y$46,25,FALSE)</f>
        <v>0</v>
      </c>
      <c r="G19" s="345">
        <f>VLOOKUP($B19,'평가 내역 세부자료'!$A$5:$Y$46,21,FALSE)</f>
        <v>1000</v>
      </c>
      <c r="H19" s="393" t="s">
        <v>257</v>
      </c>
      <c r="J19" s="28"/>
    </row>
    <row r="20" spans="2:10" ht="18" customHeight="1">
      <c r="B20" s="26" t="s">
        <v>17</v>
      </c>
      <c r="C20" s="24">
        <f>VLOOKUP($B20,'평가 내역 세부자료'!$A$5:$Y$46,19,FALSE)</f>
        <v>6739</v>
      </c>
      <c r="D20" s="24">
        <f>VLOOKUP($B20,'평가 내역 세부자료'!$A$5:$Y$46,20,FALSE)</f>
        <v>1890</v>
      </c>
      <c r="E20" s="24">
        <f t="shared" si="0"/>
        <v>8629</v>
      </c>
      <c r="F20" s="345">
        <f>VLOOKUP($B20,'평가 내역 세부자료'!$A$5:$Y$46,25,FALSE)</f>
        <v>0</v>
      </c>
      <c r="G20" s="345">
        <f>VLOOKUP($B20,'평가 내역 세부자료'!$A$5:$Y$46,21,FALSE)</f>
        <v>2000</v>
      </c>
      <c r="H20" s="393" t="s">
        <v>254</v>
      </c>
      <c r="J20" s="28"/>
    </row>
    <row r="21" spans="2:10" ht="18" customHeight="1">
      <c r="B21" s="26" t="s">
        <v>18</v>
      </c>
      <c r="C21" s="24">
        <f>VLOOKUP($B21,'평가 내역 세부자료'!$A$5:$Y$46,19,FALSE)</f>
        <v>6751</v>
      </c>
      <c r="D21" s="24">
        <f>VLOOKUP($B21,'평가 내역 세부자료'!$A$5:$Y$46,20,FALSE)</f>
        <v>1894</v>
      </c>
      <c r="E21" s="24">
        <f t="shared" si="0"/>
        <v>8645</v>
      </c>
      <c r="F21" s="345">
        <f>VLOOKUP($B21,'평가 내역 세부자료'!$A$5:$Y$46,25,FALSE)</f>
        <v>720</v>
      </c>
      <c r="G21" s="345">
        <f>VLOOKUP($B21,'평가 내역 세부자료'!$A$5:$Y$46,21,FALSE)</f>
        <v>0</v>
      </c>
      <c r="H21" s="393"/>
      <c r="J21" s="28"/>
    </row>
    <row r="22" spans="2:10" ht="18" customHeight="1">
      <c r="B22" s="26" t="s">
        <v>19</v>
      </c>
      <c r="C22" s="24">
        <f>VLOOKUP($B22,'평가 내역 세부자료'!$A$5:$Y$46,19,FALSE)</f>
        <v>3643</v>
      </c>
      <c r="D22" s="24">
        <f>VLOOKUP($B22,'평가 내역 세부자료'!$A$5:$Y$46,20,FALSE)</f>
        <v>1022</v>
      </c>
      <c r="E22" s="24">
        <f t="shared" si="0"/>
        <v>4665</v>
      </c>
      <c r="F22" s="345">
        <f>VLOOKUP($B22,'평가 내역 세부자료'!$A$5:$Y$46,25,FALSE)</f>
        <v>0</v>
      </c>
      <c r="G22" s="345">
        <f>VLOOKUP($B22,'평가 내역 세부자료'!$A$5:$Y$46,21,FALSE)</f>
        <v>1000</v>
      </c>
      <c r="H22" s="393" t="s">
        <v>254</v>
      </c>
      <c r="J22" s="28"/>
    </row>
    <row r="23" spans="2:10" ht="18" customHeight="1">
      <c r="B23" s="26" t="s">
        <v>20</v>
      </c>
      <c r="C23" s="24">
        <f>VLOOKUP($B23,'평가 내역 세부자료'!$A$5:$Y$46,19,FALSE)</f>
        <v>3308</v>
      </c>
      <c r="D23" s="24">
        <f>VLOOKUP($B23,'평가 내역 세부자료'!$A$5:$Y$46,20,FALSE)</f>
        <v>928</v>
      </c>
      <c r="E23" s="24">
        <f t="shared" si="0"/>
        <v>4236</v>
      </c>
      <c r="F23" s="345">
        <f>VLOOKUP($B23,'평가 내역 세부자료'!$A$5:$Y$46,25,FALSE)</f>
        <v>720</v>
      </c>
      <c r="G23" s="345">
        <f>VLOOKUP($B23,'평가 내역 세부자료'!$A$5:$Y$46,21,FALSE)</f>
        <v>0</v>
      </c>
      <c r="H23" s="393"/>
      <c r="J23" s="28"/>
    </row>
    <row r="24" spans="2:10" ht="18" customHeight="1">
      <c r="B24" s="26" t="s">
        <v>21</v>
      </c>
      <c r="C24" s="24">
        <f>VLOOKUP($B24,'평가 내역 세부자료'!$A$5:$Y$46,19,FALSE)</f>
        <v>3577</v>
      </c>
      <c r="D24" s="24">
        <f>VLOOKUP($B24,'평가 내역 세부자료'!$A$5:$Y$46,20,FALSE)</f>
        <v>1003</v>
      </c>
      <c r="E24" s="24">
        <f t="shared" si="0"/>
        <v>4580</v>
      </c>
      <c r="F24" s="345">
        <f>VLOOKUP($B24,'평가 내역 세부자료'!$A$5:$Y$46,25,FALSE)</f>
        <v>720</v>
      </c>
      <c r="G24" s="345">
        <f>VLOOKUP($B24,'평가 내역 세부자료'!$A$5:$Y$46,21,FALSE)</f>
        <v>0</v>
      </c>
      <c r="H24" s="393"/>
      <c r="J24" s="28"/>
    </row>
    <row r="25" spans="2:10" ht="18" customHeight="1">
      <c r="B25" s="26" t="s">
        <v>22</v>
      </c>
      <c r="C25" s="24">
        <f>VLOOKUP($B25,'평가 내역 세부자료'!$A$5:$Y$46,19,FALSE)</f>
        <v>2955</v>
      </c>
      <c r="D25" s="24">
        <f>VLOOKUP($B25,'평가 내역 세부자료'!$A$5:$Y$46,20,FALSE)</f>
        <v>829</v>
      </c>
      <c r="E25" s="24">
        <f t="shared" si="0"/>
        <v>3784</v>
      </c>
      <c r="F25" s="345">
        <f>VLOOKUP($B25,'평가 내역 세부자료'!$A$5:$Y$46,25,FALSE)</f>
        <v>720</v>
      </c>
      <c r="G25" s="345">
        <f>VLOOKUP($B25,'평가 내역 세부자료'!$A$5:$Y$46,21,FALSE)</f>
        <v>0</v>
      </c>
      <c r="H25" s="393"/>
      <c r="J25" s="28"/>
    </row>
    <row r="26" spans="2:10" ht="18" customHeight="1">
      <c r="B26" s="26" t="s">
        <v>23</v>
      </c>
      <c r="C26" s="24">
        <f>VLOOKUP($B26,'평가 내역 세부자료'!$A$5:$Y$46,19,FALSE)</f>
        <v>2757</v>
      </c>
      <c r="D26" s="24">
        <f>VLOOKUP($B26,'평가 내역 세부자료'!$A$5:$Y$46,20,FALSE)</f>
        <v>773</v>
      </c>
      <c r="E26" s="24">
        <f t="shared" si="0"/>
        <v>3530</v>
      </c>
      <c r="F26" s="345">
        <f>VLOOKUP($B26,'평가 내역 세부자료'!$A$5:$Y$46,25,FALSE)</f>
        <v>1000</v>
      </c>
      <c r="G26" s="345">
        <f>VLOOKUP($B26,'평가 내역 세부자료'!$A$5:$Y$46,21,FALSE)</f>
        <v>0</v>
      </c>
      <c r="H26" s="393" t="s">
        <v>263</v>
      </c>
      <c r="J26" s="28"/>
    </row>
    <row r="27" spans="2:10" ht="18" customHeight="1">
      <c r="B27" s="26" t="s">
        <v>96</v>
      </c>
      <c r="C27" s="24">
        <f>VLOOKUP($B27,'평가 내역 세부자료'!$A$5:$Y$46,19,FALSE)</f>
        <v>3204</v>
      </c>
      <c r="D27" s="24">
        <f>VLOOKUP($B27,'평가 내역 세부자료'!$A$5:$Y$46,20,FALSE)</f>
        <v>899</v>
      </c>
      <c r="E27" s="24">
        <f t="shared" si="0"/>
        <v>4103</v>
      </c>
      <c r="F27" s="345">
        <f>VLOOKUP($B27,'평가 내역 세부자료'!$A$5:$Y$46,25,FALSE)</f>
        <v>720</v>
      </c>
      <c r="G27" s="345">
        <f>VLOOKUP($B27,'평가 내역 세부자료'!$A$5:$Y$46,21,FALSE)</f>
        <v>0</v>
      </c>
      <c r="H27" s="393"/>
      <c r="J27" s="28"/>
    </row>
    <row r="28" spans="2:10" ht="18" customHeight="1">
      <c r="B28" s="26" t="s">
        <v>97</v>
      </c>
      <c r="C28" s="24">
        <f>VLOOKUP($B28,'평가 내역 세부자료'!$A$5:$Y$46,19,FALSE)</f>
        <v>2728</v>
      </c>
      <c r="D28" s="24">
        <f>VLOOKUP($B28,'평가 내역 세부자료'!$A$5:$Y$46,20,FALSE)</f>
        <v>765</v>
      </c>
      <c r="E28" s="24">
        <f t="shared" si="0"/>
        <v>3493</v>
      </c>
      <c r="F28" s="345">
        <f>VLOOKUP($B28,'평가 내역 세부자료'!$A$5:$Y$46,25,FALSE)</f>
        <v>720</v>
      </c>
      <c r="G28" s="345">
        <f>VLOOKUP($B28,'평가 내역 세부자료'!$A$5:$Y$46,21,FALSE)</f>
        <v>0</v>
      </c>
      <c r="H28" s="393"/>
      <c r="J28" s="28"/>
    </row>
    <row r="29" spans="2:10" ht="18" customHeight="1">
      <c r="B29" s="26" t="s">
        <v>98</v>
      </c>
      <c r="C29" s="24">
        <f>VLOOKUP($B29,'평가 내역 세부자료'!$A$5:$Y$46,19,FALSE)</f>
        <v>5606</v>
      </c>
      <c r="D29" s="24">
        <f>VLOOKUP($B29,'평가 내역 세부자료'!$A$5:$Y$46,20,FALSE)</f>
        <v>1573</v>
      </c>
      <c r="E29" s="24">
        <f t="shared" si="0"/>
        <v>7179</v>
      </c>
      <c r="F29" s="345">
        <f>VLOOKUP($B29,'평가 내역 세부자료'!$A$5:$Y$46,25,FALSE)</f>
        <v>720</v>
      </c>
      <c r="G29" s="345">
        <f>VLOOKUP($B29,'평가 내역 세부자료'!$A$5:$Y$46,21,FALSE)</f>
        <v>0</v>
      </c>
      <c r="H29" s="393"/>
      <c r="J29" s="28"/>
    </row>
    <row r="30" spans="2:10" ht="18" customHeight="1">
      <c r="B30" s="26" t="s">
        <v>99</v>
      </c>
      <c r="C30" s="24">
        <f>VLOOKUP($B30,'평가 내역 세부자료'!$A$5:$Y$46,19,FALSE)</f>
        <v>3875</v>
      </c>
      <c r="D30" s="24">
        <f>VLOOKUP($B30,'평가 내역 세부자료'!$A$5:$Y$46,20,FALSE)</f>
        <v>1087</v>
      </c>
      <c r="E30" s="24">
        <f t="shared" si="0"/>
        <v>4962</v>
      </c>
      <c r="F30" s="345">
        <f>VLOOKUP($B30,'평가 내역 세부자료'!$A$5:$Y$46,25,FALSE)</f>
        <v>720</v>
      </c>
      <c r="G30" s="345">
        <f>VLOOKUP($B30,'평가 내역 세부자료'!$A$5:$Y$46,21,FALSE)</f>
        <v>0</v>
      </c>
      <c r="H30" s="393"/>
      <c r="J30" s="28"/>
    </row>
    <row r="31" spans="2:10" ht="18" customHeight="1">
      <c r="B31" s="26" t="s">
        <v>28</v>
      </c>
      <c r="C31" s="24">
        <f>VLOOKUP($B31,'평가 내역 세부자료'!$A$5:$Y$46,19,FALSE)</f>
        <v>3087</v>
      </c>
      <c r="D31" s="24">
        <f>VLOOKUP($B31,'평가 내역 세부자료'!$A$5:$Y$46,20,FALSE)</f>
        <v>866</v>
      </c>
      <c r="E31" s="24">
        <f t="shared" si="0"/>
        <v>3953</v>
      </c>
      <c r="F31" s="345">
        <f>VLOOKUP($B31,'평가 내역 세부자료'!$A$5:$Y$46,25,FALSE)</f>
        <v>720</v>
      </c>
      <c r="G31" s="345">
        <f>VLOOKUP($B31,'평가 내역 세부자료'!$A$5:$Y$46,21,FALSE)</f>
        <v>0</v>
      </c>
      <c r="H31" s="393"/>
      <c r="J31" s="28"/>
    </row>
    <row r="32" spans="2:10" ht="18" customHeight="1">
      <c r="B32" s="26" t="s">
        <v>29</v>
      </c>
      <c r="C32" s="24">
        <f>VLOOKUP($B32,'평가 내역 세부자료'!$A$5:$Y$46,19,FALSE)</f>
        <v>2652</v>
      </c>
      <c r="D32" s="24">
        <f>VLOOKUP($B32,'평가 내역 세부자료'!$A$5:$Y$46,20,FALSE)</f>
        <v>744</v>
      </c>
      <c r="E32" s="24">
        <f t="shared" si="0"/>
        <v>3396</v>
      </c>
      <c r="F32" s="345">
        <f>VLOOKUP($B32,'평가 내역 세부자료'!$A$5:$Y$46,25,FALSE)</f>
        <v>720</v>
      </c>
      <c r="G32" s="345">
        <f>VLOOKUP($B32,'평가 내역 세부자료'!$A$5:$Y$46,21,FALSE)</f>
        <v>0</v>
      </c>
      <c r="H32" s="393"/>
      <c r="J32" s="28"/>
    </row>
    <row r="33" spans="2:10" ht="18" customHeight="1">
      <c r="B33" s="26" t="s">
        <v>100</v>
      </c>
      <c r="C33" s="24">
        <f>VLOOKUP($B33,'평가 내역 세부자료'!$A$5:$Y$46,19,FALSE)</f>
        <v>1765</v>
      </c>
      <c r="D33" s="24">
        <f>VLOOKUP($B33,'평가 내역 세부자료'!$A$5:$Y$46,20,FALSE)</f>
        <v>495</v>
      </c>
      <c r="E33" s="24">
        <f t="shared" si="0"/>
        <v>2260</v>
      </c>
      <c r="F33" s="345">
        <f>VLOOKUP($B33,'평가 내역 세부자료'!$A$5:$Y$46,25,FALSE)</f>
        <v>720</v>
      </c>
      <c r="G33" s="345">
        <f>VLOOKUP($B33,'평가 내역 세부자료'!$A$5:$Y$46,21,FALSE)</f>
        <v>0</v>
      </c>
      <c r="H33" s="393"/>
      <c r="J33" s="28"/>
    </row>
    <row r="34" spans="2:10" ht="18" customHeight="1">
      <c r="B34" s="26" t="s">
        <v>101</v>
      </c>
      <c r="C34" s="24">
        <f>VLOOKUP($B34,'평가 내역 세부자료'!$A$5:$Y$46,19,FALSE)</f>
        <v>2174</v>
      </c>
      <c r="D34" s="24">
        <f>VLOOKUP($B34,'평가 내역 세부자료'!$A$5:$Y$46,20,FALSE)</f>
        <v>610</v>
      </c>
      <c r="E34" s="24">
        <f t="shared" si="0"/>
        <v>2784</v>
      </c>
      <c r="F34" s="345">
        <f>VLOOKUP($B34,'평가 내역 세부자료'!$A$5:$Y$46,25,FALSE)</f>
        <v>1000</v>
      </c>
      <c r="G34" s="345">
        <f>VLOOKUP($B34,'평가 내역 세부자료'!$A$5:$Y$46,21,FALSE)</f>
        <v>0</v>
      </c>
      <c r="H34" s="393" t="s">
        <v>263</v>
      </c>
      <c r="J34" s="28"/>
    </row>
    <row r="35" spans="2:10" ht="18" customHeight="1">
      <c r="B35" s="26" t="s">
        <v>102</v>
      </c>
      <c r="C35" s="24">
        <f>VLOOKUP($B35,'평가 내역 세부자료'!$A$5:$Y$46,19,FALSE)</f>
        <v>2307</v>
      </c>
      <c r="D35" s="24">
        <f>VLOOKUP($B35,'평가 내역 세부자료'!$A$5:$Y$46,20,FALSE)</f>
        <v>647</v>
      </c>
      <c r="E35" s="24">
        <f t="shared" si="0"/>
        <v>2954</v>
      </c>
      <c r="F35" s="345">
        <f>VLOOKUP($B35,'평가 내역 세부자료'!$A$5:$Y$46,25,FALSE)</f>
        <v>1700</v>
      </c>
      <c r="G35" s="345">
        <f>VLOOKUP($B35,'평가 내역 세부자료'!$A$5:$Y$46,21,FALSE)</f>
        <v>0</v>
      </c>
      <c r="H35" s="393" t="s">
        <v>253</v>
      </c>
      <c r="J35" s="28"/>
    </row>
    <row r="36" spans="2:10" ht="18" customHeight="1">
      <c r="B36" s="26" t="s">
        <v>103</v>
      </c>
      <c r="C36" s="24">
        <f>VLOOKUP($B36,'평가 내역 세부자료'!$A$5:$Y$46,19,FALSE)</f>
        <v>2010</v>
      </c>
      <c r="D36" s="24">
        <f>VLOOKUP($B36,'평가 내역 세부자료'!$A$5:$Y$46,20,FALSE)</f>
        <v>564</v>
      </c>
      <c r="E36" s="24">
        <f t="shared" si="0"/>
        <v>2574</v>
      </c>
      <c r="F36" s="345">
        <f>VLOOKUP($B36,'평가 내역 세부자료'!$A$5:$Y$46,25,FALSE)</f>
        <v>720</v>
      </c>
      <c r="G36" s="345">
        <f>VLOOKUP($B36,'평가 내역 세부자료'!$A$5:$Y$46,21,FALSE)</f>
        <v>0</v>
      </c>
      <c r="H36" s="393"/>
      <c r="J36" s="28"/>
    </row>
    <row r="37" spans="2:10" ht="18" customHeight="1">
      <c r="B37" s="26" t="s">
        <v>104</v>
      </c>
      <c r="C37" s="24">
        <f>VLOOKUP($B37,'평가 내역 세부자료'!$A$5:$Y$46,19,FALSE)</f>
        <v>1824</v>
      </c>
      <c r="D37" s="24">
        <f>VLOOKUP($B37,'평가 내역 세부자료'!$A$5:$Y$46,20,FALSE)</f>
        <v>512</v>
      </c>
      <c r="E37" s="24">
        <f t="shared" si="0"/>
        <v>2336</v>
      </c>
      <c r="F37" s="345">
        <f>VLOOKUP($B37,'평가 내역 세부자료'!$A$5:$Y$46,25,FALSE)</f>
        <v>720</v>
      </c>
      <c r="G37" s="345">
        <f>VLOOKUP($B37,'평가 내역 세부자료'!$A$5:$Y$46,21,FALSE)</f>
        <v>0</v>
      </c>
      <c r="H37" s="393"/>
      <c r="J37" s="28"/>
    </row>
    <row r="38" spans="2:10" ht="18" customHeight="1">
      <c r="B38" s="26" t="s">
        <v>105</v>
      </c>
      <c r="C38" s="24">
        <f>VLOOKUP($B38,'평가 내역 세부자료'!$A$5:$Y$46,19,FALSE)</f>
        <v>1357</v>
      </c>
      <c r="D38" s="24">
        <f>VLOOKUP($B38,'평가 내역 세부자료'!$A$5:$Y$46,20,FALSE)</f>
        <v>381</v>
      </c>
      <c r="E38" s="24">
        <f t="shared" si="0"/>
        <v>1738</v>
      </c>
      <c r="F38" s="345">
        <f>VLOOKUP($B38,'평가 내역 세부자료'!$A$5:$Y$46,25,FALSE)</f>
        <v>700</v>
      </c>
      <c r="G38" s="345">
        <f>VLOOKUP($B38,'평가 내역 세부자료'!$A$5:$Y$46,21,FALSE)</f>
        <v>0</v>
      </c>
      <c r="H38" s="393" t="s">
        <v>262</v>
      </c>
      <c r="J38" s="28"/>
    </row>
    <row r="39" spans="2:10" ht="18" customHeight="1">
      <c r="B39" s="26" t="s">
        <v>106</v>
      </c>
      <c r="C39" s="24">
        <f>VLOOKUP($B39,'평가 내역 세부자료'!$A$5:$Y$46,19,FALSE)</f>
        <v>1330</v>
      </c>
      <c r="D39" s="24">
        <f>VLOOKUP($B39,'평가 내역 세부자료'!$A$5:$Y$46,20,FALSE)</f>
        <v>373</v>
      </c>
      <c r="E39" s="24">
        <f t="shared" si="0"/>
        <v>1703</v>
      </c>
      <c r="F39" s="345">
        <f>VLOOKUP($B39,'평가 내역 세부자료'!$A$5:$Y$46,25,FALSE)</f>
        <v>550</v>
      </c>
      <c r="G39" s="345">
        <f>VLOOKUP($B39,'평가 내역 세부자료'!$A$5:$Y$46,21,FALSE)</f>
        <v>0</v>
      </c>
      <c r="H39" s="393"/>
      <c r="J39" s="28"/>
    </row>
    <row r="40" spans="2:10" ht="18" customHeight="1">
      <c r="B40" s="26" t="s">
        <v>107</v>
      </c>
      <c r="C40" s="24">
        <f>VLOOKUP($B40,'평가 내역 세부자료'!$A$5:$Y$46,19,FALSE)</f>
        <v>1739</v>
      </c>
      <c r="D40" s="24">
        <f>VLOOKUP($B40,'평가 내역 세부자료'!$A$5:$Y$46,20,FALSE)</f>
        <v>488</v>
      </c>
      <c r="E40" s="24">
        <f t="shared" si="0"/>
        <v>2227</v>
      </c>
      <c r="F40" s="345">
        <f>VLOOKUP($B40,'평가 내역 세부자료'!$A$5:$Y$46,25,FALSE)</f>
        <v>550</v>
      </c>
      <c r="G40" s="345">
        <f>VLOOKUP($B40,'평가 내역 세부자료'!$A$5:$Y$46,21,FALSE)</f>
        <v>0</v>
      </c>
      <c r="H40" s="393"/>
      <c r="J40" s="28"/>
    </row>
    <row r="41" spans="2:10" ht="18" customHeight="1">
      <c r="B41" s="26" t="s">
        <v>108</v>
      </c>
      <c r="C41" s="24">
        <f>VLOOKUP($B41,'평가 내역 세부자료'!$A$5:$Y$46,19,FALSE)</f>
        <v>1421</v>
      </c>
      <c r="D41" s="24">
        <f>VLOOKUP($B41,'평가 내역 세부자료'!$A$5:$Y$46,20,FALSE)</f>
        <v>399</v>
      </c>
      <c r="E41" s="24">
        <f t="shared" si="0"/>
        <v>1820</v>
      </c>
      <c r="F41" s="345">
        <f>VLOOKUP($B41,'평가 내역 세부자료'!$A$5:$Y$46,25,FALSE)</f>
        <v>550</v>
      </c>
      <c r="G41" s="345">
        <f>VLOOKUP($B41,'평가 내역 세부자료'!$A$5:$Y$46,21,FALSE)</f>
        <v>0</v>
      </c>
      <c r="H41" s="393"/>
      <c r="J41" s="28"/>
    </row>
    <row r="42" spans="2:10" ht="18" customHeight="1">
      <c r="B42" s="26" t="s">
        <v>109</v>
      </c>
      <c r="C42" s="24">
        <f>VLOOKUP($B42,'평가 내역 세부자료'!$A$5:$Y$46,19,FALSE)</f>
        <v>1480</v>
      </c>
      <c r="D42" s="24">
        <f>VLOOKUP($B42,'평가 내역 세부자료'!$A$5:$Y$46,20,FALSE)</f>
        <v>415</v>
      </c>
      <c r="E42" s="24">
        <f t="shared" si="0"/>
        <v>1895</v>
      </c>
      <c r="F42" s="345">
        <f>VLOOKUP($B42,'평가 내역 세부자료'!$A$5:$Y$46,25,FALSE)</f>
        <v>700</v>
      </c>
      <c r="G42" s="345">
        <f>VLOOKUP($B42,'평가 내역 세부자료'!$A$5:$Y$46,21,FALSE)</f>
        <v>0</v>
      </c>
      <c r="H42" s="393" t="s">
        <v>262</v>
      </c>
      <c r="J42" s="28"/>
    </row>
    <row r="43" spans="2:10" ht="18" customHeight="1">
      <c r="B43" s="26" t="s">
        <v>110</v>
      </c>
      <c r="C43" s="24">
        <f>VLOOKUP($B43,'평가 내역 세부자료'!$A$5:$Y$46,19,FALSE)</f>
        <v>1106</v>
      </c>
      <c r="D43" s="24">
        <f>VLOOKUP($B43,'평가 내역 세부자료'!$A$5:$Y$46,20,FALSE)</f>
        <v>310</v>
      </c>
      <c r="E43" s="24">
        <f t="shared" si="0"/>
        <v>1416</v>
      </c>
      <c r="F43" s="345">
        <f>VLOOKUP($B43,'평가 내역 세부자료'!$A$5:$Y$46,25,FALSE)</f>
        <v>550</v>
      </c>
      <c r="G43" s="345">
        <f>VLOOKUP($B43,'평가 내역 세부자료'!$A$5:$Y$46,21,FALSE)</f>
        <v>0</v>
      </c>
      <c r="H43" s="393"/>
      <c r="J43" s="28"/>
    </row>
    <row r="44" spans="2:10" ht="18" customHeight="1">
      <c r="B44" s="26" t="s">
        <v>111</v>
      </c>
      <c r="C44" s="24">
        <f>VLOOKUP($B44,'평가 내역 세부자료'!$A$5:$Y$46,19,FALSE)</f>
        <v>539</v>
      </c>
      <c r="D44" s="24">
        <f>VLOOKUP($B44,'평가 내역 세부자료'!$A$5:$Y$46,20,FALSE)</f>
        <v>151</v>
      </c>
      <c r="E44" s="24">
        <f t="shared" si="0"/>
        <v>690</v>
      </c>
      <c r="F44" s="345">
        <f>VLOOKUP($B44,'평가 내역 세부자료'!$A$5:$Y$46,25,FALSE)</f>
        <v>700</v>
      </c>
      <c r="G44" s="345">
        <f>VLOOKUP($B44,'평가 내역 세부자료'!$A$5:$Y$46,21,FALSE)</f>
        <v>0</v>
      </c>
      <c r="H44" s="393" t="s">
        <v>262</v>
      </c>
      <c r="J44" s="28"/>
    </row>
    <row r="45" spans="2:10" ht="18" customHeight="1">
      <c r="B45" s="26" t="s">
        <v>112</v>
      </c>
      <c r="C45" s="24">
        <f>VLOOKUP($B45,'평가 내역 세부자료'!$A$5:$Y$46,19,FALSE)</f>
        <v>1589</v>
      </c>
      <c r="D45" s="24">
        <f>VLOOKUP($B45,'평가 내역 세부자료'!$A$5:$Y$46,20,FALSE)</f>
        <v>446</v>
      </c>
      <c r="E45" s="24">
        <f t="shared" si="0"/>
        <v>2035</v>
      </c>
      <c r="F45" s="345">
        <f>VLOOKUP($B45,'평가 내역 세부자료'!$A$5:$Y$46,25,FALSE)</f>
        <v>550</v>
      </c>
      <c r="G45" s="345">
        <f>VLOOKUP($B45,'평가 내역 세부자료'!$A$5:$Y$46,21,FALSE)</f>
        <v>0</v>
      </c>
      <c r="H45" s="393"/>
      <c r="J45" s="28"/>
    </row>
    <row r="46" spans="2:10" ht="18" customHeight="1">
      <c r="B46" s="26" t="s">
        <v>113</v>
      </c>
      <c r="C46" s="24">
        <f>VLOOKUP($B46,'평가 내역 세부자료'!$A$5:$Y$46,19,FALSE)</f>
        <v>1301</v>
      </c>
      <c r="D46" s="24">
        <f>VLOOKUP($B46,'평가 내역 세부자료'!$A$5:$Y$46,20,FALSE)</f>
        <v>365</v>
      </c>
      <c r="E46" s="24">
        <f t="shared" si="0"/>
        <v>1666</v>
      </c>
      <c r="F46" s="345">
        <f>VLOOKUP($B46,'평가 내역 세부자료'!$A$5:$Y$46,25,FALSE)</f>
        <v>550</v>
      </c>
      <c r="G46" s="345">
        <f>VLOOKUP($B46,'평가 내역 세부자료'!$A$5:$Y$46,21,FALSE)</f>
        <v>0</v>
      </c>
      <c r="H46" s="393"/>
      <c r="J46" s="28"/>
    </row>
    <row r="47" spans="2:10" ht="18" customHeight="1" thickBot="1">
      <c r="B47" s="29" t="s">
        <v>114</v>
      </c>
      <c r="C47" s="33">
        <f>SUM(C6:C46)</f>
        <v>129656</v>
      </c>
      <c r="D47" s="33">
        <f>SUM(D6:D46)</f>
        <v>36373</v>
      </c>
      <c r="E47" s="33">
        <f>SUM(E6:E46)</f>
        <v>166029</v>
      </c>
      <c r="F47" s="33">
        <f t="shared" ref="F47:G47" si="1">SUM(F6:F46)</f>
        <v>26500</v>
      </c>
      <c r="G47" s="33">
        <f t="shared" si="1"/>
        <v>9000</v>
      </c>
      <c r="H47" s="25"/>
    </row>
    <row r="48" spans="2:10" s="15" customFormat="1">
      <c r="B48" s="27"/>
      <c r="C48" s="34"/>
      <c r="D48" s="35"/>
      <c r="E48" s="27"/>
      <c r="F48" s="27"/>
      <c r="G48" s="27"/>
    </row>
    <row r="49" spans="2:7" s="15" customFormat="1">
      <c r="B49" s="27"/>
      <c r="C49" s="36"/>
      <c r="D49" s="35"/>
      <c r="E49" s="27"/>
      <c r="F49" s="27"/>
      <c r="G49" s="27"/>
    </row>
    <row r="50" spans="2:7" s="15" customFormat="1">
      <c r="B50" s="27"/>
      <c r="C50" s="27"/>
      <c r="D50" s="32"/>
      <c r="E50" s="27"/>
      <c r="F50" s="27"/>
      <c r="G50" s="27"/>
    </row>
    <row r="51" spans="2:7" s="15" customFormat="1">
      <c r="B51" s="27"/>
      <c r="C51" s="27"/>
      <c r="D51" s="32"/>
      <c r="E51" s="27"/>
      <c r="F51" s="27"/>
      <c r="G51" s="27"/>
    </row>
    <row r="52" spans="2:7" s="15" customFormat="1">
      <c r="B52" s="27"/>
      <c r="C52" s="27"/>
      <c r="D52" s="32"/>
      <c r="E52" s="37"/>
      <c r="F52" s="37"/>
      <c r="G52" s="37"/>
    </row>
    <row r="53" spans="2:7" s="15" customFormat="1">
      <c r="B53" s="27"/>
      <c r="C53" s="27"/>
      <c r="D53" s="32"/>
      <c r="E53" s="27"/>
      <c r="F53" s="27"/>
      <c r="G53" s="27"/>
    </row>
    <row r="54" spans="2:7" s="15" customFormat="1">
      <c r="B54" s="27"/>
      <c r="C54" s="27"/>
      <c r="D54" s="32"/>
      <c r="E54" s="27"/>
      <c r="F54" s="27"/>
      <c r="G54" s="27"/>
    </row>
    <row r="55" spans="2:7" s="15" customFormat="1">
      <c r="B55" s="27"/>
      <c r="C55" s="27"/>
      <c r="D55" s="32"/>
      <c r="E55" s="27"/>
      <c r="F55" s="27"/>
      <c r="G55" s="27"/>
    </row>
    <row r="56" spans="2:7" s="15" customFormat="1">
      <c r="B56" s="27"/>
      <c r="C56" s="27"/>
      <c r="D56" s="32"/>
      <c r="E56" s="27"/>
      <c r="F56" s="27"/>
      <c r="G56" s="27"/>
    </row>
    <row r="57" spans="2:7" s="15" customFormat="1">
      <c r="B57" s="27"/>
      <c r="C57" s="27"/>
      <c r="D57" s="32"/>
      <c r="E57" s="27"/>
      <c r="F57" s="27"/>
      <c r="G57" s="27"/>
    </row>
    <row r="58" spans="2:7" s="15" customFormat="1">
      <c r="B58" s="27"/>
      <c r="C58" s="27"/>
      <c r="D58" s="32"/>
      <c r="E58" s="27"/>
      <c r="F58" s="27"/>
      <c r="G58" s="27"/>
    </row>
    <row r="59" spans="2:7" s="15" customFormat="1">
      <c r="B59" s="27"/>
      <c r="C59" s="27"/>
      <c r="D59" s="32"/>
      <c r="E59" s="27"/>
      <c r="F59" s="27"/>
      <c r="G59" s="27"/>
    </row>
    <row r="60" spans="2:7" s="15" customFormat="1">
      <c r="B60" s="27"/>
      <c r="C60" s="27"/>
      <c r="D60" s="32"/>
      <c r="E60" s="27"/>
      <c r="F60" s="27"/>
      <c r="G60" s="27"/>
    </row>
    <row r="61" spans="2:7" s="15" customFormat="1">
      <c r="B61" s="27"/>
      <c r="C61" s="27"/>
      <c r="D61" s="32"/>
      <c r="E61" s="27"/>
      <c r="F61" s="27"/>
      <c r="G61" s="27"/>
    </row>
    <row r="62" spans="2:7" s="15" customFormat="1">
      <c r="B62" s="27"/>
      <c r="C62" s="27"/>
      <c r="D62" s="32"/>
      <c r="E62" s="27"/>
      <c r="F62" s="27"/>
      <c r="G62" s="27"/>
    </row>
    <row r="63" spans="2:7" s="15" customFormat="1">
      <c r="B63" s="27"/>
      <c r="C63" s="27"/>
      <c r="D63" s="32"/>
      <c r="E63" s="27"/>
      <c r="F63" s="27"/>
      <c r="G63" s="27"/>
    </row>
    <row r="64" spans="2:7" s="15" customFormat="1">
      <c r="B64" s="27"/>
      <c r="C64" s="27"/>
      <c r="D64" s="32"/>
      <c r="E64" s="27"/>
      <c r="F64" s="27"/>
      <c r="G64" s="27"/>
    </row>
    <row r="65" spans="2:7" s="15" customFormat="1">
      <c r="B65" s="27"/>
      <c r="C65" s="27"/>
      <c r="D65" s="32"/>
      <c r="E65" s="27"/>
      <c r="F65" s="27"/>
      <c r="G65" s="27"/>
    </row>
    <row r="66" spans="2:7" s="15" customFormat="1">
      <c r="B66" s="27"/>
      <c r="C66" s="27"/>
      <c r="D66" s="32"/>
      <c r="E66" s="27"/>
      <c r="F66" s="27"/>
      <c r="G66" s="27"/>
    </row>
    <row r="67" spans="2:7" s="15" customFormat="1">
      <c r="B67" s="27"/>
      <c r="C67" s="27"/>
      <c r="D67" s="32"/>
      <c r="E67" s="27"/>
      <c r="F67" s="27"/>
      <c r="G67" s="27"/>
    </row>
    <row r="68" spans="2:7" s="15" customFormat="1">
      <c r="B68" s="27"/>
      <c r="C68" s="27"/>
      <c r="D68" s="32"/>
      <c r="E68" s="27"/>
      <c r="F68" s="27"/>
      <c r="G68" s="27"/>
    </row>
    <row r="69" spans="2:7" s="15" customFormat="1">
      <c r="B69" s="27"/>
      <c r="C69" s="27"/>
      <c r="D69" s="32"/>
      <c r="E69" s="27"/>
      <c r="F69" s="27"/>
      <c r="G69" s="27"/>
    </row>
    <row r="70" spans="2:7" s="15" customFormat="1">
      <c r="B70" s="27"/>
      <c r="C70" s="27"/>
      <c r="D70" s="32"/>
      <c r="E70" s="27"/>
      <c r="F70" s="27"/>
      <c r="G70" s="27"/>
    </row>
    <row r="71" spans="2:7" s="15" customFormat="1">
      <c r="B71" s="27"/>
      <c r="C71" s="27"/>
      <c r="D71" s="32"/>
      <c r="E71" s="27"/>
      <c r="F71" s="27"/>
      <c r="G71" s="27"/>
    </row>
    <row r="72" spans="2:7" s="15" customFormat="1">
      <c r="B72" s="27"/>
      <c r="C72" s="27"/>
      <c r="D72" s="32"/>
      <c r="E72" s="27"/>
      <c r="F72" s="27"/>
      <c r="G72" s="27"/>
    </row>
    <row r="73" spans="2:7" s="15" customFormat="1">
      <c r="B73" s="27"/>
      <c r="C73" s="27"/>
      <c r="D73" s="32"/>
      <c r="E73" s="27"/>
      <c r="F73" s="27"/>
      <c r="G73" s="27"/>
    </row>
    <row r="74" spans="2:7" s="15" customFormat="1">
      <c r="B74" s="27"/>
      <c r="C74" s="27"/>
      <c r="D74" s="32"/>
      <c r="E74" s="27"/>
      <c r="F74" s="27"/>
      <c r="G74" s="27"/>
    </row>
    <row r="75" spans="2:7" s="15" customFormat="1">
      <c r="B75" s="27"/>
      <c r="C75" s="27"/>
      <c r="D75" s="32"/>
      <c r="E75" s="27"/>
      <c r="F75" s="27"/>
      <c r="G75" s="27"/>
    </row>
    <row r="76" spans="2:7" s="15" customFormat="1">
      <c r="B76" s="27"/>
      <c r="C76" s="27"/>
      <c r="D76" s="32"/>
      <c r="E76" s="27"/>
      <c r="F76" s="27"/>
      <c r="G76" s="27"/>
    </row>
    <row r="77" spans="2:7" s="15" customFormat="1">
      <c r="B77" s="27"/>
      <c r="C77" s="27"/>
      <c r="D77" s="32"/>
      <c r="E77" s="27"/>
      <c r="F77" s="27"/>
      <c r="G77" s="27"/>
    </row>
    <row r="78" spans="2:7" s="15" customFormat="1">
      <c r="B78" s="27"/>
      <c r="C78" s="27"/>
      <c r="D78" s="32"/>
      <c r="E78" s="27"/>
      <c r="F78" s="27"/>
      <c r="G78" s="27"/>
    </row>
    <row r="79" spans="2:7" s="15" customFormat="1">
      <c r="B79" s="27"/>
      <c r="C79" s="27"/>
      <c r="D79" s="32"/>
      <c r="E79" s="27"/>
      <c r="F79" s="27"/>
      <c r="G79" s="27"/>
    </row>
    <row r="80" spans="2:7" s="15" customFormat="1">
      <c r="B80" s="27"/>
      <c r="C80" s="27"/>
      <c r="D80" s="32"/>
      <c r="E80" s="27"/>
      <c r="F80" s="27"/>
      <c r="G80" s="27"/>
    </row>
    <row r="81" spans="2:7" s="15" customFormat="1">
      <c r="B81" s="27"/>
      <c r="C81" s="27"/>
      <c r="D81" s="32"/>
      <c r="E81" s="27"/>
      <c r="F81" s="27"/>
      <c r="G81" s="27"/>
    </row>
    <row r="82" spans="2:7" s="15" customFormat="1">
      <c r="B82" s="27"/>
      <c r="C82" s="27"/>
      <c r="D82" s="32"/>
      <c r="E82" s="27"/>
      <c r="F82" s="27"/>
      <c r="G82" s="27"/>
    </row>
    <row r="83" spans="2:7" s="15" customFormat="1">
      <c r="B83" s="27"/>
      <c r="C83" s="27"/>
      <c r="D83" s="32"/>
      <c r="E83" s="27"/>
      <c r="F83" s="27"/>
      <c r="G83" s="27"/>
    </row>
    <row r="84" spans="2:7" s="15" customFormat="1">
      <c r="B84" s="27"/>
      <c r="C84" s="27"/>
      <c r="D84" s="32"/>
      <c r="E84" s="27"/>
      <c r="F84" s="27"/>
      <c r="G84" s="27"/>
    </row>
    <row r="85" spans="2:7" s="15" customFormat="1">
      <c r="B85" s="27"/>
      <c r="C85" s="27"/>
      <c r="D85" s="32"/>
      <c r="E85" s="27"/>
      <c r="F85" s="27"/>
      <c r="G85" s="27"/>
    </row>
    <row r="86" spans="2:7" s="15" customFormat="1">
      <c r="B86" s="27"/>
      <c r="C86" s="27"/>
      <c r="D86" s="32"/>
      <c r="E86" s="27"/>
      <c r="F86" s="27"/>
      <c r="G86" s="27"/>
    </row>
    <row r="87" spans="2:7" s="15" customFormat="1">
      <c r="B87" s="27"/>
      <c r="C87" s="27"/>
      <c r="D87" s="32"/>
      <c r="E87" s="27"/>
      <c r="F87" s="27"/>
      <c r="G87" s="27"/>
    </row>
    <row r="88" spans="2:7" s="15" customFormat="1">
      <c r="B88" s="27"/>
      <c r="C88" s="27"/>
      <c r="D88" s="32"/>
      <c r="E88" s="27"/>
      <c r="F88" s="27"/>
      <c r="G88" s="27"/>
    </row>
    <row r="89" spans="2:7" s="15" customFormat="1">
      <c r="B89" s="27"/>
      <c r="C89" s="27"/>
      <c r="D89" s="32"/>
      <c r="E89" s="27"/>
      <c r="F89" s="27"/>
      <c r="G89" s="27"/>
    </row>
    <row r="90" spans="2:7" s="15" customFormat="1">
      <c r="B90" s="27"/>
      <c r="C90" s="27"/>
      <c r="D90" s="32"/>
      <c r="E90" s="27"/>
      <c r="F90" s="27"/>
      <c r="G90" s="27"/>
    </row>
    <row r="91" spans="2:7" s="15" customFormat="1">
      <c r="B91" s="27"/>
      <c r="C91" s="27"/>
      <c r="D91" s="32"/>
      <c r="E91" s="27"/>
      <c r="F91" s="27"/>
      <c r="G91" s="27"/>
    </row>
    <row r="92" spans="2:7" s="15" customFormat="1">
      <c r="B92" s="27"/>
      <c r="C92" s="27"/>
      <c r="D92" s="32"/>
      <c r="E92" s="27"/>
      <c r="F92" s="27"/>
      <c r="G92" s="27"/>
    </row>
    <row r="93" spans="2:7" s="15" customFormat="1">
      <c r="B93" s="27"/>
      <c r="C93" s="27"/>
      <c r="D93" s="32"/>
      <c r="E93" s="27"/>
      <c r="F93" s="27"/>
      <c r="G93" s="27"/>
    </row>
    <row r="94" spans="2:7" s="15" customFormat="1">
      <c r="B94" s="27"/>
      <c r="C94" s="27"/>
      <c r="D94" s="32"/>
      <c r="E94" s="27"/>
      <c r="F94" s="27"/>
      <c r="G94" s="27"/>
    </row>
    <row r="95" spans="2:7" s="15" customFormat="1">
      <c r="B95" s="27"/>
      <c r="C95" s="27"/>
      <c r="D95" s="32"/>
      <c r="E95" s="27"/>
      <c r="F95" s="27"/>
      <c r="G95" s="27"/>
    </row>
    <row r="96" spans="2:7" s="15" customFormat="1">
      <c r="B96" s="27"/>
      <c r="C96" s="27"/>
      <c r="D96" s="32"/>
      <c r="E96" s="27"/>
      <c r="F96" s="27"/>
      <c r="G96" s="27"/>
    </row>
    <row r="97" spans="2:7" s="15" customFormat="1">
      <c r="B97" s="27"/>
      <c r="C97" s="27"/>
      <c r="D97" s="32"/>
      <c r="E97" s="27"/>
      <c r="F97" s="27"/>
      <c r="G97" s="27"/>
    </row>
    <row r="98" spans="2:7" s="15" customFormat="1">
      <c r="B98" s="27"/>
      <c r="C98" s="27"/>
      <c r="D98" s="32"/>
      <c r="E98" s="27"/>
      <c r="F98" s="27"/>
      <c r="G98" s="27"/>
    </row>
    <row r="99" spans="2:7" s="15" customFormat="1">
      <c r="B99" s="27"/>
      <c r="C99" s="27"/>
      <c r="D99" s="32"/>
      <c r="E99" s="27"/>
      <c r="F99" s="27"/>
      <c r="G99" s="27"/>
    </row>
    <row r="100" spans="2:7" s="15" customFormat="1">
      <c r="B100" s="27"/>
      <c r="C100" s="27"/>
      <c r="D100" s="32"/>
      <c r="E100" s="27"/>
      <c r="F100" s="27"/>
      <c r="G100" s="27"/>
    </row>
    <row r="101" spans="2:7" s="15" customFormat="1">
      <c r="B101" s="27"/>
      <c r="C101" s="27"/>
      <c r="D101" s="32"/>
      <c r="E101" s="27"/>
      <c r="F101" s="27"/>
      <c r="G101" s="27"/>
    </row>
    <row r="102" spans="2:7" s="15" customFormat="1">
      <c r="B102" s="27"/>
      <c r="C102" s="27"/>
      <c r="D102" s="32"/>
      <c r="E102" s="27"/>
      <c r="F102" s="27"/>
      <c r="G102" s="27"/>
    </row>
    <row r="103" spans="2:7" s="15" customFormat="1">
      <c r="B103" s="27"/>
      <c r="C103" s="27"/>
      <c r="D103" s="32"/>
      <c r="E103" s="27"/>
      <c r="F103" s="27"/>
      <c r="G103" s="27"/>
    </row>
    <row r="104" spans="2:7" s="15" customFormat="1">
      <c r="B104" s="27"/>
      <c r="C104" s="27"/>
      <c r="D104" s="32"/>
      <c r="E104" s="27"/>
      <c r="F104" s="27"/>
      <c r="G104" s="27"/>
    </row>
    <row r="105" spans="2:7" s="15" customFormat="1">
      <c r="B105" s="27"/>
      <c r="C105" s="27"/>
      <c r="D105" s="32"/>
      <c r="E105" s="27"/>
      <c r="F105" s="27"/>
      <c r="G105" s="27"/>
    </row>
    <row r="106" spans="2:7" s="15" customFormat="1">
      <c r="B106" s="27"/>
      <c r="C106" s="27"/>
      <c r="D106" s="32"/>
      <c r="E106" s="27"/>
      <c r="F106" s="27"/>
      <c r="G106" s="27"/>
    </row>
    <row r="107" spans="2:7" s="15" customFormat="1">
      <c r="B107" s="27"/>
      <c r="C107" s="27"/>
      <c r="D107" s="32"/>
      <c r="E107" s="27"/>
      <c r="F107" s="27"/>
      <c r="G107" s="27"/>
    </row>
    <row r="108" spans="2:7" s="15" customFormat="1">
      <c r="B108" s="27"/>
      <c r="C108" s="27"/>
      <c r="D108" s="32"/>
      <c r="E108" s="27"/>
      <c r="F108" s="27"/>
      <c r="G108" s="27"/>
    </row>
    <row r="109" spans="2:7" s="15" customFormat="1">
      <c r="B109" s="27"/>
      <c r="C109" s="27"/>
      <c r="D109" s="32"/>
      <c r="E109" s="27"/>
      <c r="F109" s="27"/>
      <c r="G109" s="27"/>
    </row>
    <row r="110" spans="2:7" s="15" customFormat="1">
      <c r="B110" s="27"/>
      <c r="C110" s="27"/>
      <c r="D110" s="32"/>
      <c r="E110" s="27"/>
      <c r="F110" s="27"/>
      <c r="G110" s="27"/>
    </row>
    <row r="111" spans="2:7" s="15" customFormat="1">
      <c r="B111" s="27"/>
      <c r="C111" s="27"/>
      <c r="D111" s="32"/>
      <c r="E111" s="27"/>
      <c r="F111" s="27"/>
      <c r="G111" s="27"/>
    </row>
    <row r="112" spans="2:7" s="15" customFormat="1">
      <c r="B112" s="27"/>
      <c r="C112" s="27"/>
      <c r="D112" s="32"/>
      <c r="E112" s="27"/>
      <c r="F112" s="27"/>
      <c r="G112" s="27"/>
    </row>
    <row r="113" spans="2:7" s="15" customFormat="1">
      <c r="B113" s="27"/>
      <c r="C113" s="27"/>
      <c r="D113" s="32"/>
      <c r="E113" s="27"/>
      <c r="F113" s="27"/>
      <c r="G113" s="27"/>
    </row>
    <row r="114" spans="2:7" s="15" customFormat="1">
      <c r="B114" s="27"/>
      <c r="C114" s="27"/>
      <c r="D114" s="32"/>
      <c r="E114" s="27"/>
      <c r="F114" s="27"/>
      <c r="G114" s="27"/>
    </row>
    <row r="115" spans="2:7" s="15" customFormat="1">
      <c r="B115" s="27"/>
      <c r="C115" s="27"/>
      <c r="D115" s="32"/>
      <c r="E115" s="27"/>
      <c r="F115" s="27"/>
      <c r="G115" s="27"/>
    </row>
    <row r="116" spans="2:7" s="15" customFormat="1">
      <c r="B116" s="27"/>
      <c r="C116" s="27"/>
      <c r="D116" s="32"/>
      <c r="E116" s="27"/>
      <c r="F116" s="27"/>
      <c r="G116" s="27"/>
    </row>
    <row r="117" spans="2:7" s="15" customFormat="1">
      <c r="B117" s="27"/>
      <c r="C117" s="27"/>
      <c r="D117" s="32"/>
      <c r="E117" s="27"/>
      <c r="F117" s="27"/>
      <c r="G117" s="27"/>
    </row>
    <row r="118" spans="2:7" s="15" customFormat="1">
      <c r="B118" s="27"/>
      <c r="C118" s="27"/>
      <c r="D118" s="32"/>
      <c r="E118" s="27"/>
      <c r="F118" s="27"/>
      <c r="G118" s="27"/>
    </row>
    <row r="119" spans="2:7" s="15" customFormat="1">
      <c r="B119" s="27"/>
      <c r="C119" s="27"/>
      <c r="D119" s="32"/>
      <c r="E119" s="27"/>
      <c r="F119" s="27"/>
      <c r="G119" s="27"/>
    </row>
    <row r="120" spans="2:7" s="15" customFormat="1">
      <c r="B120" s="27"/>
      <c r="C120" s="27"/>
      <c r="D120" s="32"/>
      <c r="E120" s="27"/>
      <c r="F120" s="27"/>
      <c r="G120" s="27"/>
    </row>
    <row r="121" spans="2:7" s="15" customFormat="1">
      <c r="B121" s="27"/>
      <c r="C121" s="27"/>
      <c r="D121" s="32"/>
      <c r="E121" s="27"/>
      <c r="F121" s="27"/>
      <c r="G121" s="27"/>
    </row>
  </sheetData>
  <mergeCells count="4">
    <mergeCell ref="B2:H2"/>
    <mergeCell ref="C4:E4"/>
    <mergeCell ref="B4:B5"/>
    <mergeCell ref="H4:H5"/>
  </mergeCells>
  <phoneticPr fontId="2" type="noConversion"/>
  <pageMargins left="0.31496062992125984" right="0.35433070866141736" top="0.95" bottom="0.47244094488188981" header="0.31496062992125984" footer="0.31496062992125984"/>
  <pageSetup paperSize="9" scale="8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48"/>
  <sheetViews>
    <sheetView view="pageBreakPreview" zoomScale="80" zoomScaleSheetLayoutView="8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defaultRowHeight="16.5"/>
  <cols>
    <col min="1" max="1" width="9" style="1"/>
    <col min="2" max="2" width="12.375" style="1" customWidth="1"/>
    <col min="3" max="3" width="11.375" style="1" customWidth="1"/>
    <col min="4" max="4" width="8.125" style="1" customWidth="1"/>
    <col min="5" max="5" width="10.75" style="1" customWidth="1"/>
    <col min="6" max="6" width="11.5" style="1" customWidth="1"/>
    <col min="7" max="7" width="12.375" style="1" customWidth="1"/>
    <col min="8" max="9" width="9" style="1" customWidth="1"/>
    <col min="10" max="11" width="12.375" style="1" customWidth="1"/>
    <col min="12" max="12" width="9" style="1" customWidth="1"/>
    <col min="13" max="13" width="11.5" style="1" customWidth="1"/>
    <col min="14" max="15" width="10.5" style="1" customWidth="1"/>
    <col min="16" max="16" width="9" style="1" customWidth="1"/>
    <col min="17" max="17" width="11.625" style="1" customWidth="1"/>
    <col min="18" max="18" width="12" style="1" customWidth="1"/>
    <col min="19" max="20" width="18.5" style="1" customWidth="1"/>
    <col min="21" max="21" width="25.75" style="15" customWidth="1"/>
    <col min="22" max="22" width="25.125" style="15" customWidth="1"/>
    <col min="23" max="23" width="22.5" style="15" customWidth="1"/>
    <col min="24" max="24" width="18.5" style="15" customWidth="1"/>
    <col min="25" max="25" width="20.625" style="15" customWidth="1"/>
    <col min="26" max="28" width="9" style="15"/>
    <col min="29" max="16384" width="9" style="1"/>
  </cols>
  <sheetData>
    <row r="1" spans="1:25" ht="33.75">
      <c r="A1" s="444" t="s">
        <v>118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</row>
    <row r="2" spans="1:25" ht="15.75" customHeight="1" thickBot="1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320"/>
      <c r="X2" s="459" t="s">
        <v>121</v>
      </c>
      <c r="Y2" s="459"/>
    </row>
    <row r="3" spans="1:25" ht="20.25" customHeight="1">
      <c r="A3" s="448" t="s">
        <v>44</v>
      </c>
      <c r="B3" s="445" t="s">
        <v>81</v>
      </c>
      <c r="C3" s="446"/>
      <c r="D3" s="446"/>
      <c r="E3" s="447"/>
      <c r="F3" s="456" t="s">
        <v>82</v>
      </c>
      <c r="G3" s="457"/>
      <c r="H3" s="457"/>
      <c r="I3" s="458"/>
      <c r="J3" s="450" t="s">
        <v>83</v>
      </c>
      <c r="K3" s="450"/>
      <c r="L3" s="450"/>
      <c r="M3" s="450"/>
      <c r="N3" s="451" t="s">
        <v>84</v>
      </c>
      <c r="O3" s="451"/>
      <c r="P3" s="451"/>
      <c r="Q3" s="451"/>
      <c r="R3" s="452" t="s">
        <v>116</v>
      </c>
      <c r="S3" s="454" t="s">
        <v>119</v>
      </c>
      <c r="T3" s="454" t="s">
        <v>120</v>
      </c>
      <c r="U3" s="460" t="s">
        <v>261</v>
      </c>
      <c r="V3" s="461"/>
      <c r="W3" s="317" t="s">
        <v>186</v>
      </c>
      <c r="X3" s="318" t="s">
        <v>207</v>
      </c>
      <c r="Y3" s="440" t="s">
        <v>260</v>
      </c>
    </row>
    <row r="4" spans="1:25" ht="51.75" customHeight="1">
      <c r="A4" s="449"/>
      <c r="B4" s="39" t="s">
        <v>78</v>
      </c>
      <c r="C4" s="39" t="s">
        <v>79</v>
      </c>
      <c r="D4" s="39" t="s">
        <v>80</v>
      </c>
      <c r="E4" s="43" t="s">
        <v>194</v>
      </c>
      <c r="F4" s="31" t="s">
        <v>78</v>
      </c>
      <c r="G4" s="31" t="s">
        <v>79</v>
      </c>
      <c r="H4" s="31" t="s">
        <v>80</v>
      </c>
      <c r="I4" s="43" t="s">
        <v>124</v>
      </c>
      <c r="J4" s="30" t="s">
        <v>122</v>
      </c>
      <c r="K4" s="30" t="s">
        <v>123</v>
      </c>
      <c r="L4" s="40" t="s">
        <v>80</v>
      </c>
      <c r="M4" s="43" t="s">
        <v>125</v>
      </c>
      <c r="N4" s="41" t="s">
        <v>78</v>
      </c>
      <c r="O4" s="41" t="s">
        <v>79</v>
      </c>
      <c r="P4" s="41" t="s">
        <v>80</v>
      </c>
      <c r="Q4" s="43" t="s">
        <v>126</v>
      </c>
      <c r="R4" s="453"/>
      <c r="S4" s="455"/>
      <c r="T4" s="455"/>
      <c r="U4" s="421" t="s">
        <v>259</v>
      </c>
      <c r="V4" s="326" t="s">
        <v>264</v>
      </c>
      <c r="W4" s="326" t="s">
        <v>265</v>
      </c>
      <c r="X4" s="422" t="s">
        <v>266</v>
      </c>
      <c r="Y4" s="441"/>
    </row>
    <row r="5" spans="1:25" ht="17.25">
      <c r="A5" s="26" t="s">
        <v>4</v>
      </c>
      <c r="B5" s="17">
        <f>VLOOKUP(A5,총수신고!$C$6:$I$45,2,FALSE)</f>
        <v>317089</v>
      </c>
      <c r="C5" s="17">
        <f>VLOOKUP(A5,총수신고!$C$6:$I$45,4,FALSE)</f>
        <v>334123.12461499998</v>
      </c>
      <c r="D5" s="18">
        <f t="shared" ref="D5:D46" si="0">(C5/B5)*100</f>
        <v>105.37203265171607</v>
      </c>
      <c r="E5" s="330">
        <f>((B5/$B$46)*50+(C5/$C$46)*50)*10%</f>
        <v>0.35980237879826299</v>
      </c>
      <c r="F5" s="19">
        <f>VLOOKUP(A5,총수신고!$M$6:$U$45,2,FALSE)</f>
        <v>73235</v>
      </c>
      <c r="G5" s="19">
        <f>VLOOKUP(A5,총수신고!$M$6:$U$45,4,FALSE)</f>
        <v>69581.868700000006</v>
      </c>
      <c r="H5" s="18">
        <f t="shared" ref="H5:H46" si="1">(G5/F5)*100</f>
        <v>95.011768553287368</v>
      </c>
      <c r="I5" s="316">
        <f>((F5/$F$46)*50+(G5/$G$46)*50)*40%</f>
        <v>1.4530515049607269</v>
      </c>
      <c r="J5" s="19">
        <f>VLOOKUP(A5,체크카드!$A$5:$D$44,2,FALSE)</f>
        <v>302599</v>
      </c>
      <c r="K5" s="19">
        <f>VLOOKUP(A5,체크카드!$A$5:$D$44,3,FALSE)</f>
        <v>354989.91399999999</v>
      </c>
      <c r="L5" s="18">
        <f t="shared" ref="L5:L46" si="2">(K5/J5)*100</f>
        <v>117.31364412968979</v>
      </c>
      <c r="M5" s="316">
        <f>((J5/$J$46)*50+(K5/$K$46)*50)*30%</f>
        <v>1.3817781186551563</v>
      </c>
      <c r="N5" s="19">
        <f>VLOOKUP(A5,스마트금융!$A$5:$D$45,2,FALSE)</f>
        <v>10583</v>
      </c>
      <c r="O5" s="19">
        <f>VLOOKUP(A5,스마트금융!$A$5:$D$45,3,FALSE)</f>
        <v>10699</v>
      </c>
      <c r="P5" s="18">
        <f t="shared" ref="P5:P46" si="3">(O5/N5)*100</f>
        <v>101.09609751488236</v>
      </c>
      <c r="Q5" s="316">
        <f>((N5/$N$46)*50+(O5/$O$46)*50)*20%</f>
        <v>0.75832793619528993</v>
      </c>
      <c r="R5" s="413">
        <f>SUM(E5,I5,M5,Q5)</f>
        <v>3.9529599386094363</v>
      </c>
      <c r="S5" s="415">
        <f>ROUND(129659*R5%,0)</f>
        <v>5125</v>
      </c>
      <c r="T5" s="415">
        <f>ROUND(36373*R5%,0)</f>
        <v>1438</v>
      </c>
      <c r="U5" s="423">
        <v>1000</v>
      </c>
      <c r="V5" s="327"/>
      <c r="W5" s="328"/>
      <c r="X5" s="424"/>
      <c r="Y5" s="418">
        <f>SUM(V5:X5)</f>
        <v>0</v>
      </c>
    </row>
    <row r="6" spans="1:25" ht="17.25">
      <c r="A6" s="26" t="s">
        <v>5</v>
      </c>
      <c r="B6" s="17">
        <f>VLOOKUP(A6,총수신고!$C$6:$I$45,2,FALSE)</f>
        <v>255500</v>
      </c>
      <c r="C6" s="17">
        <f>VLOOKUP(A6,총수신고!$C$6:$I$45,4,FALSE)</f>
        <v>242209.65268</v>
      </c>
      <c r="D6" s="18">
        <f t="shared" si="0"/>
        <v>94.798298504892358</v>
      </c>
      <c r="E6" s="330">
        <f t="shared" ref="E6:E44" si="4">((B6/$B$46)*50+(C6/$C$46)*50)*10%</f>
        <v>0.27554966518079094</v>
      </c>
      <c r="F6" s="19">
        <f>VLOOKUP(A6,총수신고!$M$6:$U$45,2,FALSE)</f>
        <v>68038</v>
      </c>
      <c r="G6" s="19">
        <f>VLOOKUP(A6,총수신고!$M$6:$U$45,4,FALSE)</f>
        <v>57053.663877999999</v>
      </c>
      <c r="H6" s="18">
        <f t="shared" si="1"/>
        <v>83.855586404656222</v>
      </c>
      <c r="I6" s="316">
        <f t="shared" ref="I6:I44" si="5">((F6/$F$46)*50+(G6/$G$46)*50)*40%</f>
        <v>1.2736248810937543</v>
      </c>
      <c r="J6" s="19">
        <f>VLOOKUP(A6,체크카드!$A$5:$D$44,2,FALSE)</f>
        <v>238942</v>
      </c>
      <c r="K6" s="19">
        <f>VLOOKUP(A6,체크카드!$A$5:$D$44,3,FALSE)</f>
        <v>204388.24400000001</v>
      </c>
      <c r="L6" s="18">
        <f t="shared" si="2"/>
        <v>85.538852106368907</v>
      </c>
      <c r="M6" s="316">
        <f t="shared" ref="M6:M44" si="6">((J6/$J$46)*50+(K6/$K$46)*50)*30%</f>
        <v>0.92042799181695767</v>
      </c>
      <c r="N6" s="19">
        <f>VLOOKUP(A6,스마트금융!$A$5:$D$45,2,FALSE)</f>
        <v>7626</v>
      </c>
      <c r="O6" s="19">
        <f>VLOOKUP(A6,스마트금융!$A$5:$D$45,3,FALSE)</f>
        <v>7768</v>
      </c>
      <c r="P6" s="18">
        <f t="shared" si="3"/>
        <v>101.8620508785733</v>
      </c>
      <c r="Q6" s="316">
        <f t="shared" ref="Q6:Q44" si="7">((N6/$N$46)*50+(O6/$O$46)*50)*20%</f>
        <v>0.5485083665128534</v>
      </c>
      <c r="R6" s="413">
        <f t="shared" ref="R6:R44" si="8">SUM(E6,I6,M6,Q6)</f>
        <v>3.0181109046043564</v>
      </c>
      <c r="S6" s="415">
        <f t="shared" ref="S6:S44" si="9">ROUND(129659*R6%,0)</f>
        <v>3913</v>
      </c>
      <c r="T6" s="415">
        <f t="shared" ref="T6:T44" si="10">ROUND(36373*R6%,0)</f>
        <v>1098</v>
      </c>
      <c r="U6" s="423"/>
      <c r="V6" s="327">
        <v>1000</v>
      </c>
      <c r="W6" s="328"/>
      <c r="X6" s="424"/>
      <c r="Y6" s="418">
        <f t="shared" ref="Y6:Y46" si="11">SUM(V6:X6)</f>
        <v>1000</v>
      </c>
    </row>
    <row r="7" spans="1:25" ht="17.25">
      <c r="A7" s="26" t="s">
        <v>6</v>
      </c>
      <c r="B7" s="17">
        <f>VLOOKUP(A7,총수신고!$C$6:$I$45,2,FALSE)</f>
        <v>161565</v>
      </c>
      <c r="C7" s="17">
        <f>VLOOKUP(A7,총수신고!$C$6:$I$45,4,FALSE)</f>
        <v>175811.98091300001</v>
      </c>
      <c r="D7" s="18">
        <f t="shared" si="0"/>
        <v>108.81811092315787</v>
      </c>
      <c r="E7" s="330">
        <f t="shared" si="4"/>
        <v>0.18628951366249225</v>
      </c>
      <c r="F7" s="19">
        <f>VLOOKUP(A7,총수신고!$M$6:$U$45,2,FALSE)</f>
        <v>37301</v>
      </c>
      <c r="G7" s="19">
        <f>VLOOKUP(A7,총수신고!$M$6:$U$45,4,FALSE)</f>
        <v>39480.169204999998</v>
      </c>
      <c r="H7" s="18">
        <f t="shared" si="1"/>
        <v>105.84212006380524</v>
      </c>
      <c r="I7" s="316">
        <f t="shared" si="5"/>
        <v>0.78070290967104539</v>
      </c>
      <c r="J7" s="19">
        <f>VLOOKUP(A7,체크카드!$A$5:$D$44,2,FALSE)</f>
        <v>166288</v>
      </c>
      <c r="K7" s="19">
        <f>VLOOKUP(A7,체크카드!$A$5:$D$44,3,FALSE)</f>
        <v>146374.66699999999</v>
      </c>
      <c r="L7" s="18">
        <f t="shared" si="2"/>
        <v>88.024792528625028</v>
      </c>
      <c r="M7" s="316">
        <f t="shared" si="6"/>
        <v>0.64985012832993905</v>
      </c>
      <c r="N7" s="19">
        <f>VLOOKUP(A7,스마트금융!$A$5:$D$45,2,FALSE)</f>
        <v>6068</v>
      </c>
      <c r="O7" s="19">
        <f>VLOOKUP(A7,스마트금융!$A$5:$D$45,3,FALSE)</f>
        <v>6122</v>
      </c>
      <c r="P7" s="18">
        <f t="shared" si="3"/>
        <v>100.88991430454845</v>
      </c>
      <c r="Q7" s="316">
        <f t="shared" si="7"/>
        <v>0.4343619715884347</v>
      </c>
      <c r="R7" s="413">
        <f t="shared" si="8"/>
        <v>2.0512045232519114</v>
      </c>
      <c r="S7" s="415">
        <f t="shared" si="9"/>
        <v>2660</v>
      </c>
      <c r="T7" s="415">
        <f t="shared" si="10"/>
        <v>746</v>
      </c>
      <c r="U7" s="423"/>
      <c r="V7" s="327"/>
      <c r="W7" s="328"/>
      <c r="X7" s="424">
        <v>720</v>
      </c>
      <c r="Y7" s="418">
        <f t="shared" si="11"/>
        <v>720</v>
      </c>
    </row>
    <row r="8" spans="1:25" s="15" customFormat="1" ht="17.25">
      <c r="A8" s="331" t="s">
        <v>7</v>
      </c>
      <c r="B8" s="332">
        <f>VLOOKUP(A8,총수신고!$C$6:$I$45,2,FALSE)</f>
        <v>451356</v>
      </c>
      <c r="C8" s="332">
        <f>VLOOKUP(A8,총수신고!$C$6:$I$45,4,FALSE)</f>
        <v>473779.45189700002</v>
      </c>
      <c r="D8" s="333">
        <f t="shared" si="0"/>
        <v>104.96801901315149</v>
      </c>
      <c r="E8" s="334">
        <f t="shared" si="4"/>
        <v>0.51118599374461471</v>
      </c>
      <c r="F8" s="335">
        <f>VLOOKUP(A8,총수신고!$M$6:$U$45,2,FALSE)</f>
        <v>119184</v>
      </c>
      <c r="G8" s="335">
        <f>VLOOKUP(A8,총수신고!$M$6:$U$45,4,FALSE)</f>
        <v>125326.663958</v>
      </c>
      <c r="H8" s="333">
        <f t="shared" si="1"/>
        <v>105.15393337864143</v>
      </c>
      <c r="I8" s="336">
        <f t="shared" si="5"/>
        <v>2.4862524295110067</v>
      </c>
      <c r="J8" s="335">
        <f>VLOOKUP(A8,체크카드!$A$5:$D$44,2,FALSE)</f>
        <v>471032</v>
      </c>
      <c r="K8" s="335">
        <f>VLOOKUP(A8,체크카드!$A$5:$D$44,3,FALSE)</f>
        <v>389444.19699999999</v>
      </c>
      <c r="L8" s="333">
        <f t="shared" si="2"/>
        <v>82.678925635625603</v>
      </c>
      <c r="M8" s="336">
        <f t="shared" si="6"/>
        <v>1.7841794158191333</v>
      </c>
      <c r="N8" s="335">
        <f>VLOOKUP(A8,스마트금융!$A$5:$D$45,2,FALSE)</f>
        <v>17231</v>
      </c>
      <c r="O8" s="335">
        <f>VLOOKUP(A8,스마트금융!$A$5:$D$45,3,FALSE)</f>
        <v>17499</v>
      </c>
      <c r="P8" s="333">
        <f t="shared" si="3"/>
        <v>101.5553363124601</v>
      </c>
      <c r="Q8" s="336">
        <f t="shared" si="7"/>
        <v>1.2374899719429746</v>
      </c>
      <c r="R8" s="414">
        <f t="shared" si="8"/>
        <v>6.0191078110177294</v>
      </c>
      <c r="S8" s="416">
        <f t="shared" si="9"/>
        <v>7804</v>
      </c>
      <c r="T8" s="416">
        <f t="shared" si="10"/>
        <v>2189</v>
      </c>
      <c r="U8" s="425">
        <v>1000</v>
      </c>
      <c r="V8" s="335">
        <v>1000</v>
      </c>
      <c r="W8" s="429"/>
      <c r="X8" s="426"/>
      <c r="Y8" s="419">
        <f t="shared" si="11"/>
        <v>1000</v>
      </c>
    </row>
    <row r="9" spans="1:25" ht="17.25">
      <c r="A9" s="26" t="s">
        <v>91</v>
      </c>
      <c r="B9" s="17">
        <f>VLOOKUP(A9,총수신고!$C$6:$I$45,2,FALSE)</f>
        <v>265241</v>
      </c>
      <c r="C9" s="17">
        <f>VLOOKUP(A9,총수신고!$C$6:$I$45,4,FALSE)</f>
        <v>281096.60420499998</v>
      </c>
      <c r="D9" s="18">
        <f t="shared" si="0"/>
        <v>105.97781044597177</v>
      </c>
      <c r="E9" s="330">
        <f t="shared" si="4"/>
        <v>0.30182471027422175</v>
      </c>
      <c r="F9" s="19">
        <f>VLOOKUP(A9,총수신고!$M$6:$U$45,2,FALSE)</f>
        <v>62839</v>
      </c>
      <c r="G9" s="19">
        <f>VLOOKUP(A9,총수신고!$M$6:$U$45,4,FALSE)</f>
        <v>63673.542368000002</v>
      </c>
      <c r="H9" s="18">
        <f t="shared" si="1"/>
        <v>101.32806436766977</v>
      </c>
      <c r="I9" s="316">
        <f t="shared" si="5"/>
        <v>1.286689795055044</v>
      </c>
      <c r="J9" s="19">
        <f>VLOOKUP(A9,체크카드!$A$5:$D$44,2,FALSE)</f>
        <v>253357</v>
      </c>
      <c r="K9" s="19">
        <f>VLOOKUP(A9,체크카드!$A$5:$D$44,3,FALSE)</f>
        <v>205225.42199999999</v>
      </c>
      <c r="L9" s="18">
        <f t="shared" si="2"/>
        <v>81.002467664205042</v>
      </c>
      <c r="M9" s="316">
        <f t="shared" si="6"/>
        <v>0.95012018308438984</v>
      </c>
      <c r="N9" s="19">
        <f>VLOOKUP(A9,스마트금융!$A$5:$D$45,2,FALSE)</f>
        <v>9262</v>
      </c>
      <c r="O9" s="19">
        <f>VLOOKUP(A9,스마트금융!$A$5:$D$45,3,FALSE)</f>
        <v>9265</v>
      </c>
      <c r="P9" s="18">
        <f t="shared" si="3"/>
        <v>100.03239041243792</v>
      </c>
      <c r="Q9" s="316">
        <f t="shared" si="7"/>
        <v>0.66018813544082244</v>
      </c>
      <c r="R9" s="413">
        <f t="shared" si="8"/>
        <v>3.1988228238544778</v>
      </c>
      <c r="S9" s="415">
        <f t="shared" si="9"/>
        <v>4148</v>
      </c>
      <c r="T9" s="415">
        <f t="shared" si="10"/>
        <v>1164</v>
      </c>
      <c r="U9" s="423"/>
      <c r="V9" s="327"/>
      <c r="W9" s="328"/>
      <c r="X9" s="424">
        <v>720</v>
      </c>
      <c r="Y9" s="418">
        <f t="shared" si="11"/>
        <v>720</v>
      </c>
    </row>
    <row r="10" spans="1:25" ht="17.25">
      <c r="A10" s="26" t="s">
        <v>92</v>
      </c>
      <c r="B10" s="17">
        <f>VLOOKUP(A10,총수신고!$C$6:$I$45,2,FALSE)</f>
        <v>335902</v>
      </c>
      <c r="C10" s="17">
        <f>VLOOKUP(A10,총수신고!$C$6:$I$45,4,FALSE)</f>
        <v>355282.659346</v>
      </c>
      <c r="D10" s="18">
        <f t="shared" si="0"/>
        <v>105.76973621651553</v>
      </c>
      <c r="E10" s="330">
        <f t="shared" si="4"/>
        <v>0.38186002345158276</v>
      </c>
      <c r="F10" s="19">
        <f>VLOOKUP(A10,총수신고!$M$6:$U$45,2,FALSE)</f>
        <v>82878</v>
      </c>
      <c r="G10" s="19">
        <f>VLOOKUP(A10,총수신고!$M$6:$U$45,4,FALSE)</f>
        <v>85812.832687999995</v>
      </c>
      <c r="H10" s="18">
        <f t="shared" si="1"/>
        <v>103.54114805859214</v>
      </c>
      <c r="I10" s="316">
        <f t="shared" si="5"/>
        <v>1.7154482383275593</v>
      </c>
      <c r="J10" s="19">
        <f>VLOOKUP(A10,체크카드!$A$5:$D$44,2,FALSE)</f>
        <v>290833</v>
      </c>
      <c r="K10" s="19">
        <f>VLOOKUP(A10,체크카드!$A$5:$D$44,3,FALSE)</f>
        <v>243526.584</v>
      </c>
      <c r="L10" s="18">
        <f t="shared" si="2"/>
        <v>83.734164967524322</v>
      </c>
      <c r="M10" s="316">
        <f t="shared" si="6"/>
        <v>1.1085187622139794</v>
      </c>
      <c r="N10" s="19">
        <f>VLOOKUP(A10,스마트금융!$A$5:$D$45,2,FALSE)</f>
        <v>10878</v>
      </c>
      <c r="O10" s="19">
        <f>VLOOKUP(A10,스마트금융!$A$5:$D$45,3,FALSE)</f>
        <v>11107</v>
      </c>
      <c r="P10" s="18">
        <f t="shared" si="3"/>
        <v>102.10516639088067</v>
      </c>
      <c r="Q10" s="316">
        <f t="shared" si="7"/>
        <v>0.78334700651756162</v>
      </c>
      <c r="R10" s="413">
        <f t="shared" si="8"/>
        <v>3.9891740305106831</v>
      </c>
      <c r="S10" s="415">
        <f t="shared" si="9"/>
        <v>5172</v>
      </c>
      <c r="T10" s="415">
        <f t="shared" si="10"/>
        <v>1451</v>
      </c>
      <c r="U10" s="423"/>
      <c r="V10" s="327"/>
      <c r="W10" s="328"/>
      <c r="X10" s="424">
        <v>720</v>
      </c>
      <c r="Y10" s="418">
        <f t="shared" si="11"/>
        <v>720</v>
      </c>
    </row>
    <row r="11" spans="1:25" ht="17.25">
      <c r="A11" s="26" t="s">
        <v>93</v>
      </c>
      <c r="B11" s="17">
        <f>VLOOKUP(A11,총수신고!$C$6:$I$45,2,FALSE)</f>
        <v>352943</v>
      </c>
      <c r="C11" s="17">
        <f>VLOOKUP(A11,총수신고!$C$6:$I$45,4,FALSE)</f>
        <v>371832.439358</v>
      </c>
      <c r="D11" s="18">
        <f t="shared" si="0"/>
        <v>105.35198016620248</v>
      </c>
      <c r="E11" s="330">
        <f t="shared" si="4"/>
        <v>0.40044844272429403</v>
      </c>
      <c r="F11" s="19">
        <f>VLOOKUP(A11,총수신고!$M$6:$U$45,2,FALSE)</f>
        <v>68028</v>
      </c>
      <c r="G11" s="19">
        <f>VLOOKUP(A11,총수신고!$M$6:$U$45,4,FALSE)</f>
        <v>71725.208471999998</v>
      </c>
      <c r="H11" s="18">
        <f t="shared" si="1"/>
        <v>105.43483340977244</v>
      </c>
      <c r="I11" s="316">
        <f t="shared" si="5"/>
        <v>1.4210276245239362</v>
      </c>
      <c r="J11" s="19">
        <f>VLOOKUP(A11,체크카드!$A$5:$D$44,2,FALSE)</f>
        <v>243728</v>
      </c>
      <c r="K11" s="19">
        <f>VLOOKUP(A11,체크카드!$A$5:$D$44,3,FALSE)</f>
        <v>209987.22</v>
      </c>
      <c r="L11" s="18">
        <f t="shared" si="2"/>
        <v>86.156379242434184</v>
      </c>
      <c r="M11" s="316">
        <f t="shared" si="6"/>
        <v>0.94224743369710873</v>
      </c>
      <c r="N11" s="19">
        <f>VLOOKUP(A11,스마트금융!$A$5:$D$45,2,FALSE)</f>
        <v>10330</v>
      </c>
      <c r="O11" s="19">
        <f>VLOOKUP(A11,스마트금융!$A$5:$D$45,3,FALSE)</f>
        <v>10407</v>
      </c>
      <c r="P11" s="18">
        <f t="shared" si="3"/>
        <v>100.74540174249758</v>
      </c>
      <c r="Q11" s="316">
        <f t="shared" si="7"/>
        <v>0.73891835832971509</v>
      </c>
      <c r="R11" s="413">
        <f t="shared" si="8"/>
        <v>3.5026418592750543</v>
      </c>
      <c r="S11" s="415">
        <f t="shared" si="9"/>
        <v>4541</v>
      </c>
      <c r="T11" s="415">
        <f t="shared" si="10"/>
        <v>1274</v>
      </c>
      <c r="U11" s="423"/>
      <c r="V11" s="327"/>
      <c r="W11" s="328"/>
      <c r="X11" s="424">
        <v>720</v>
      </c>
      <c r="Y11" s="418">
        <f t="shared" si="11"/>
        <v>720</v>
      </c>
    </row>
    <row r="12" spans="1:25" ht="17.25">
      <c r="A12" s="26" t="s">
        <v>94</v>
      </c>
      <c r="B12" s="17">
        <f>VLOOKUP(A12,총수신고!$C$6:$I$45,2,FALSE)</f>
        <v>281761</v>
      </c>
      <c r="C12" s="17">
        <f>VLOOKUP(A12,총수신고!$C$6:$I$45,4,FALSE)</f>
        <v>302743.37933099997</v>
      </c>
      <c r="D12" s="18">
        <f t="shared" si="0"/>
        <v>107.44687140200382</v>
      </c>
      <c r="E12" s="330">
        <f t="shared" si="4"/>
        <v>0.32282455240729074</v>
      </c>
      <c r="F12" s="19">
        <f>VLOOKUP(A12,총수신고!$M$6:$U$45,2,FALSE)</f>
        <v>56604</v>
      </c>
      <c r="G12" s="19">
        <f>VLOOKUP(A12,총수신고!$M$6:$U$45,4,FALSE)</f>
        <v>57943.474570999999</v>
      </c>
      <c r="H12" s="18">
        <f t="shared" si="1"/>
        <v>102.3663956098509</v>
      </c>
      <c r="I12" s="316">
        <f t="shared" si="5"/>
        <v>1.1649311153679833</v>
      </c>
      <c r="J12" s="19">
        <f>VLOOKUP(A12,체크카드!$A$5:$D$44,2,FALSE)</f>
        <v>190112</v>
      </c>
      <c r="K12" s="19">
        <f>VLOOKUP(A12,체크카드!$A$5:$D$44,3,FALSE)</f>
        <v>166320.068</v>
      </c>
      <c r="L12" s="18">
        <f t="shared" si="2"/>
        <v>87.485307608146783</v>
      </c>
      <c r="M12" s="316">
        <f t="shared" si="6"/>
        <v>0.74064832139617287</v>
      </c>
      <c r="N12" s="19">
        <f>VLOOKUP(A12,스마트금융!$A$5:$D$45,2,FALSE)</f>
        <v>9146</v>
      </c>
      <c r="O12" s="19">
        <f>VLOOKUP(A12,스마트금융!$A$5:$D$45,3,FALSE)</f>
        <v>9265</v>
      </c>
      <c r="P12" s="18">
        <f t="shared" si="3"/>
        <v>101.3011152416357</v>
      </c>
      <c r="Q12" s="316">
        <f t="shared" si="7"/>
        <v>0.65602221696353757</v>
      </c>
      <c r="R12" s="413">
        <f t="shared" si="8"/>
        <v>2.8844262061349846</v>
      </c>
      <c r="S12" s="415">
        <f t="shared" si="9"/>
        <v>3740</v>
      </c>
      <c r="T12" s="415">
        <f t="shared" si="10"/>
        <v>1049</v>
      </c>
      <c r="U12" s="423"/>
      <c r="V12" s="327">
        <v>1000</v>
      </c>
      <c r="W12" s="328"/>
      <c r="X12" s="424"/>
      <c r="Y12" s="418">
        <f t="shared" si="11"/>
        <v>1000</v>
      </c>
    </row>
    <row r="13" spans="1:25" ht="17.25">
      <c r="A13" s="26" t="s">
        <v>95</v>
      </c>
      <c r="B13" s="17">
        <f>VLOOKUP(A13,총수신고!$C$6:$I$45,2,FALSE)</f>
        <v>114428</v>
      </c>
      <c r="C13" s="17">
        <f>VLOOKUP(A13,총수신고!$C$6:$I$45,4,FALSE)</f>
        <v>136088.018491</v>
      </c>
      <c r="D13" s="18">
        <f t="shared" si="0"/>
        <v>118.92894963732653</v>
      </c>
      <c r="E13" s="330">
        <f t="shared" si="4"/>
        <v>0.13809194689423299</v>
      </c>
      <c r="F13" s="19">
        <f>VLOOKUP(A13,총수신고!$M$6:$U$45,2,FALSE)</f>
        <v>32723</v>
      </c>
      <c r="G13" s="19">
        <f>VLOOKUP(A13,총수신고!$M$6:$U$45,4,FALSE)</f>
        <v>33721.867566000001</v>
      </c>
      <c r="H13" s="18">
        <f t="shared" si="1"/>
        <v>103.05249386058735</v>
      </c>
      <c r="I13" s="316">
        <f t="shared" si="5"/>
        <v>0.67570857300720177</v>
      </c>
      <c r="J13" s="19">
        <f>VLOOKUP(A13,체크카드!$A$5:$D$44,2,FALSE)</f>
        <v>116544</v>
      </c>
      <c r="K13" s="19">
        <f>VLOOKUP(A13,체크카드!$A$5:$D$44,3,FALSE)</f>
        <v>99366.842000000004</v>
      </c>
      <c r="L13" s="18">
        <f t="shared" si="2"/>
        <v>85.261224945085118</v>
      </c>
      <c r="M13" s="316">
        <f t="shared" si="6"/>
        <v>0.44821157593743166</v>
      </c>
      <c r="N13" s="19">
        <f>VLOOKUP(A13,스마트금융!$A$5:$D$45,2,FALSE)</f>
        <v>3319</v>
      </c>
      <c r="O13" s="19">
        <f>VLOOKUP(A13,스마트금융!$A$5:$D$45,3,FALSE)</f>
        <v>3384</v>
      </c>
      <c r="P13" s="18">
        <f t="shared" si="3"/>
        <v>101.95842121120819</v>
      </c>
      <c r="Q13" s="316">
        <f t="shared" si="7"/>
        <v>0.238835777572139</v>
      </c>
      <c r="R13" s="413">
        <f t="shared" si="8"/>
        <v>1.5008478734110056</v>
      </c>
      <c r="S13" s="415">
        <f t="shared" si="9"/>
        <v>1946</v>
      </c>
      <c r="T13" s="415">
        <f t="shared" si="10"/>
        <v>546</v>
      </c>
      <c r="U13" s="423"/>
      <c r="V13" s="327"/>
      <c r="W13" s="328"/>
      <c r="X13" s="424">
        <v>720</v>
      </c>
      <c r="Y13" s="418">
        <f t="shared" si="11"/>
        <v>720</v>
      </c>
    </row>
    <row r="14" spans="1:25" ht="17.25">
      <c r="A14" s="26" t="s">
        <v>13</v>
      </c>
      <c r="B14" s="17">
        <f>VLOOKUP(A14,총수신고!$C$6:$I$45,2,FALSE)</f>
        <v>247075</v>
      </c>
      <c r="C14" s="17">
        <f>VLOOKUP(A14,총수신고!$C$6:$I$45,4,FALSE)</f>
        <v>267838.960601</v>
      </c>
      <c r="D14" s="18">
        <f t="shared" si="0"/>
        <v>108.40390998725083</v>
      </c>
      <c r="E14" s="330">
        <f t="shared" si="4"/>
        <v>0.28434097642509126</v>
      </c>
      <c r="F14" s="19">
        <f>VLOOKUP(A14,총수신고!$M$6:$U$45,2,FALSE)</f>
        <v>43423</v>
      </c>
      <c r="G14" s="19">
        <f>VLOOKUP(A14,총수신고!$M$6:$U$45,4,FALSE)</f>
        <v>44634.275407000001</v>
      </c>
      <c r="H14" s="18">
        <f t="shared" si="1"/>
        <v>102.78947886373582</v>
      </c>
      <c r="I14" s="316">
        <f t="shared" si="5"/>
        <v>0.89550834188991379</v>
      </c>
      <c r="J14" s="19">
        <f>VLOOKUP(A14,체크카드!$A$5:$D$44,2,FALSE)</f>
        <v>147071</v>
      </c>
      <c r="K14" s="19">
        <f>VLOOKUP(A14,체크카드!$A$5:$D$44,3,FALSE)</f>
        <v>121101.359</v>
      </c>
      <c r="L14" s="18">
        <f t="shared" si="2"/>
        <v>82.342106193607165</v>
      </c>
      <c r="M14" s="316">
        <f t="shared" si="6"/>
        <v>0.55596337585752098</v>
      </c>
      <c r="N14" s="19">
        <f>VLOOKUP(A14,스마트금융!$A$5:$D$45,2,FALSE)</f>
        <v>6589</v>
      </c>
      <c r="O14" s="19">
        <f>VLOOKUP(A14,스마트금융!$A$5:$D$45,3,FALSE)</f>
        <v>6704</v>
      </c>
      <c r="P14" s="18">
        <f t="shared" si="3"/>
        <v>101.74533313097587</v>
      </c>
      <c r="Q14" s="316">
        <f t="shared" si="7"/>
        <v>0.4736491143181436</v>
      </c>
      <c r="R14" s="413">
        <f t="shared" si="8"/>
        <v>2.2094618084906692</v>
      </c>
      <c r="S14" s="415">
        <f t="shared" si="9"/>
        <v>2865</v>
      </c>
      <c r="T14" s="415">
        <f t="shared" si="10"/>
        <v>804</v>
      </c>
      <c r="U14" s="423"/>
      <c r="V14" s="327"/>
      <c r="W14" s="328"/>
      <c r="X14" s="424">
        <v>720</v>
      </c>
      <c r="Y14" s="418">
        <f t="shared" si="11"/>
        <v>720</v>
      </c>
    </row>
    <row r="15" spans="1:25" ht="17.25">
      <c r="A15" s="26" t="s">
        <v>14</v>
      </c>
      <c r="B15" s="17">
        <f>VLOOKUP(A15,총수신고!$C$6:$I$45,2,FALSE)</f>
        <v>440866</v>
      </c>
      <c r="C15" s="17">
        <f>VLOOKUP(A15,총수신고!$C$6:$I$45,4,FALSE)</f>
        <v>467601.12043100002</v>
      </c>
      <c r="D15" s="18">
        <f t="shared" si="0"/>
        <v>106.06422823057346</v>
      </c>
      <c r="E15" s="330">
        <f t="shared" si="4"/>
        <v>0.50187563048245809</v>
      </c>
      <c r="F15" s="19">
        <f>VLOOKUP(A15,총수신고!$M$6:$U$45,2,FALSE)</f>
        <v>81033</v>
      </c>
      <c r="G15" s="19">
        <f>VLOOKUP(A15,총수신고!$M$6:$U$45,4,FALSE)</f>
        <v>91079.040372000003</v>
      </c>
      <c r="H15" s="18">
        <f t="shared" si="1"/>
        <v>112.39746815741736</v>
      </c>
      <c r="I15" s="316">
        <f t="shared" si="5"/>
        <v>1.7494114858532919</v>
      </c>
      <c r="J15" s="19">
        <f>VLOOKUP(A15,체크카드!$A$5:$D$44,2,FALSE)</f>
        <v>200655</v>
      </c>
      <c r="K15" s="19">
        <f>VLOOKUP(A15,체크카드!$A$5:$D$44,3,FALSE)</f>
        <v>170384.27</v>
      </c>
      <c r="L15" s="18">
        <f t="shared" si="2"/>
        <v>84.9140415140415</v>
      </c>
      <c r="M15" s="316">
        <f t="shared" si="6"/>
        <v>0.77012447988492183</v>
      </c>
      <c r="N15" s="19">
        <f>VLOOKUP(A15,스마트금융!$A$5:$D$45,2,FALSE)</f>
        <v>9960</v>
      </c>
      <c r="O15" s="19">
        <f>VLOOKUP(A15,스마트금융!$A$5:$D$45,3,FALSE)</f>
        <v>10152</v>
      </c>
      <c r="P15" s="18">
        <f t="shared" si="3"/>
        <v>101.92771084337349</v>
      </c>
      <c r="Q15" s="316">
        <f t="shared" si="7"/>
        <v>0.71661507198738128</v>
      </c>
      <c r="R15" s="413">
        <f t="shared" si="8"/>
        <v>3.738026668208053</v>
      </c>
      <c r="S15" s="415">
        <f t="shared" si="9"/>
        <v>4847</v>
      </c>
      <c r="T15" s="415">
        <f t="shared" si="10"/>
        <v>1360</v>
      </c>
      <c r="U15" s="423">
        <v>2000</v>
      </c>
      <c r="V15" s="327"/>
      <c r="W15" s="430"/>
      <c r="X15" s="424"/>
      <c r="Y15" s="418">
        <f t="shared" si="11"/>
        <v>0</v>
      </c>
    </row>
    <row r="16" spans="1:25" ht="17.25">
      <c r="A16" s="26" t="s">
        <v>15</v>
      </c>
      <c r="B16" s="17">
        <f>VLOOKUP(A16,총수신고!$C$6:$I$45,2,FALSE)</f>
        <v>354661</v>
      </c>
      <c r="C16" s="17">
        <f>VLOOKUP(A16,총수신고!$C$6:$I$45,4,FALSE)</f>
        <v>379665.799581</v>
      </c>
      <c r="D16" s="18">
        <f t="shared" si="0"/>
        <v>107.05033809214997</v>
      </c>
      <c r="E16" s="330">
        <f t="shared" si="4"/>
        <v>0.405601008048178</v>
      </c>
      <c r="F16" s="19">
        <f>VLOOKUP(A16,총수신고!$M$6:$U$45,2,FALSE)</f>
        <v>88844</v>
      </c>
      <c r="G16" s="19">
        <f>VLOOKUP(A16,총수신고!$M$6:$U$45,4,FALSE)</f>
        <v>91428.828951999996</v>
      </c>
      <c r="H16" s="18">
        <f t="shared" si="1"/>
        <v>102.90940181891854</v>
      </c>
      <c r="I16" s="316">
        <f t="shared" si="5"/>
        <v>1.8332924269137802</v>
      </c>
      <c r="J16" s="19">
        <f>VLOOKUP(A16,체크카드!$A$5:$D$44,2,FALSE)</f>
        <v>319800</v>
      </c>
      <c r="K16" s="19">
        <f>VLOOKUP(A16,체크카드!$A$5:$D$44,3,FALSE)</f>
        <v>262849.98100000003</v>
      </c>
      <c r="L16" s="18">
        <f t="shared" si="2"/>
        <v>82.191989055659803</v>
      </c>
      <c r="M16" s="316">
        <f t="shared" si="6"/>
        <v>1.207840931961049</v>
      </c>
      <c r="N16" s="19">
        <f>VLOOKUP(A16,스마트금융!$A$5:$D$45,2,FALSE)</f>
        <v>10603</v>
      </c>
      <c r="O16" s="19">
        <f>VLOOKUP(A16,스마트금융!$A$5:$D$45,3,FALSE)</f>
        <v>10717</v>
      </c>
      <c r="P16" s="18">
        <f t="shared" si="3"/>
        <v>101.07516740545128</v>
      </c>
      <c r="Q16" s="316">
        <f t="shared" si="7"/>
        <v>0.75968258220807661</v>
      </c>
      <c r="R16" s="413">
        <f t="shared" si="8"/>
        <v>4.2064169491310839</v>
      </c>
      <c r="S16" s="415">
        <f t="shared" si="9"/>
        <v>5454</v>
      </c>
      <c r="T16" s="415">
        <f t="shared" si="10"/>
        <v>1530</v>
      </c>
      <c r="U16" s="423">
        <v>1000</v>
      </c>
      <c r="V16" s="327"/>
      <c r="W16" s="328"/>
      <c r="X16" s="424"/>
      <c r="Y16" s="418">
        <f t="shared" si="11"/>
        <v>0</v>
      </c>
    </row>
    <row r="17" spans="1:25" ht="17.25">
      <c r="A17" s="26" t="s">
        <v>16</v>
      </c>
      <c r="B17" s="17">
        <f>VLOOKUP(A17,총수신고!$C$6:$I$45,2,FALSE)</f>
        <v>676977</v>
      </c>
      <c r="C17" s="17">
        <f>VLOOKUP(A17,총수신고!$C$6:$I$45,4,FALSE)</f>
        <v>836299.92984899995</v>
      </c>
      <c r="D17" s="18">
        <f t="shared" si="0"/>
        <v>123.53446717525114</v>
      </c>
      <c r="E17" s="330">
        <f t="shared" si="4"/>
        <v>0.83355824648653898</v>
      </c>
      <c r="F17" s="19">
        <f>VLOOKUP(A17,총수신고!$M$6:$U$45,2,FALSE)</f>
        <v>70406</v>
      </c>
      <c r="G17" s="19">
        <f>VLOOKUP(A17,총수신고!$M$6:$U$45,4,FALSE)</f>
        <v>79192.346214999998</v>
      </c>
      <c r="H17" s="18">
        <f t="shared" si="1"/>
        <v>112.47954182171974</v>
      </c>
      <c r="I17" s="316">
        <f t="shared" si="5"/>
        <v>1.5205674479146383</v>
      </c>
      <c r="J17" s="19">
        <f>VLOOKUP(A17,체크카드!$A$5:$D$44,2,FALSE)</f>
        <v>169310</v>
      </c>
      <c r="K17" s="19">
        <f>VLOOKUP(A17,체크카드!$A$5:$D$44,3,FALSE)</f>
        <v>148377.446</v>
      </c>
      <c r="L17" s="18">
        <f t="shared" si="2"/>
        <v>87.63655188707105</v>
      </c>
      <c r="M17" s="316">
        <f t="shared" si="6"/>
        <v>0.66018242293681662</v>
      </c>
      <c r="N17" s="19">
        <f>VLOOKUP(A17,스마트금융!$A$5:$D$45,2,FALSE)</f>
        <v>7629</v>
      </c>
      <c r="O17" s="19">
        <f>VLOOKUP(A17,스마트금융!$A$5:$D$45,3,FALSE)</f>
        <v>7710</v>
      </c>
      <c r="P17" s="18">
        <f t="shared" si="3"/>
        <v>101.06173810460086</v>
      </c>
      <c r="Q17" s="316">
        <f t="shared" si="7"/>
        <v>0.546565534452219</v>
      </c>
      <c r="R17" s="413">
        <f t="shared" si="8"/>
        <v>3.5608736517902129</v>
      </c>
      <c r="S17" s="415">
        <f t="shared" si="9"/>
        <v>4617</v>
      </c>
      <c r="T17" s="415">
        <f t="shared" si="10"/>
        <v>1295</v>
      </c>
      <c r="U17" s="423">
        <v>1000</v>
      </c>
      <c r="V17" s="327"/>
      <c r="W17" s="430"/>
      <c r="X17" s="424"/>
      <c r="Y17" s="418">
        <f t="shared" si="11"/>
        <v>0</v>
      </c>
    </row>
    <row r="18" spans="1:25" ht="17.25">
      <c r="A18" s="26" t="s">
        <v>17</v>
      </c>
      <c r="B18" s="17">
        <f>VLOOKUP(A18,총수신고!$C$6:$I$45,2,FALSE)</f>
        <v>434890</v>
      </c>
      <c r="C18" s="17">
        <f>VLOOKUP(A18,총수신고!$C$6:$I$45,4,FALSE)</f>
        <v>466136.82503399998</v>
      </c>
      <c r="D18" s="18">
        <f t="shared" si="0"/>
        <v>107.18499506403919</v>
      </c>
      <c r="E18" s="330">
        <f t="shared" si="4"/>
        <v>0.49766474482153467</v>
      </c>
      <c r="F18" s="19">
        <f>VLOOKUP(A18,총수신고!$M$6:$U$45,2,FALSE)</f>
        <v>103016</v>
      </c>
      <c r="G18" s="19">
        <f>VLOOKUP(A18,총수신고!$M$6:$U$45,4,FALSE)</f>
        <v>106884.890699</v>
      </c>
      <c r="H18" s="18">
        <f t="shared" si="1"/>
        <v>103.75562116467346</v>
      </c>
      <c r="I18" s="316">
        <f t="shared" si="5"/>
        <v>2.1344954501797524</v>
      </c>
      <c r="J18" s="19">
        <f>VLOOKUP(A18,체크카드!$A$5:$D$44,2,FALSE)</f>
        <v>375649</v>
      </c>
      <c r="K18" s="19">
        <f>VLOOKUP(A18,체크카드!$A$5:$D$44,3,FALSE)</f>
        <v>315312.05599999998</v>
      </c>
      <c r="L18" s="18">
        <f t="shared" si="2"/>
        <v>83.937946327555764</v>
      </c>
      <c r="M18" s="316">
        <f t="shared" si="6"/>
        <v>1.4335182895580394</v>
      </c>
      <c r="N18" s="19">
        <f>VLOOKUP(A18,스마트금융!$A$5:$D$45,2,FALSE)</f>
        <v>15679</v>
      </c>
      <c r="O18" s="19">
        <f>VLOOKUP(A18,스마트금융!$A$5:$D$45,3,FALSE)</f>
        <v>16087</v>
      </c>
      <c r="P18" s="18">
        <f t="shared" si="3"/>
        <v>102.60220677339116</v>
      </c>
      <c r="Q18" s="316">
        <f t="shared" si="7"/>
        <v>1.1318320502431407</v>
      </c>
      <c r="R18" s="413">
        <f t="shared" si="8"/>
        <v>5.1975105348024666</v>
      </c>
      <c r="S18" s="415">
        <f t="shared" si="9"/>
        <v>6739</v>
      </c>
      <c r="T18" s="415">
        <f t="shared" si="10"/>
        <v>1890</v>
      </c>
      <c r="U18" s="423">
        <v>2000</v>
      </c>
      <c r="V18" s="327"/>
      <c r="W18" s="328"/>
      <c r="X18" s="424"/>
      <c r="Y18" s="418">
        <f t="shared" si="11"/>
        <v>0</v>
      </c>
    </row>
    <row r="19" spans="1:25" ht="17.25">
      <c r="A19" s="26" t="s">
        <v>18</v>
      </c>
      <c r="B19" s="17">
        <f>VLOOKUP(A19,총수신고!$C$6:$I$45,2,FALSE)</f>
        <v>311482</v>
      </c>
      <c r="C19" s="17">
        <f>VLOOKUP(A19,총수신고!$C$6:$I$45,4,FALSE)</f>
        <v>333651.886558</v>
      </c>
      <c r="D19" s="18">
        <f t="shared" si="0"/>
        <v>107.11754982888257</v>
      </c>
      <c r="E19" s="330">
        <f t="shared" si="4"/>
        <v>0.35633153859513106</v>
      </c>
      <c r="F19" s="19">
        <f>VLOOKUP(A19,총수신고!$M$6:$U$45,2,FALSE)</f>
        <v>88189</v>
      </c>
      <c r="G19" s="19">
        <f>VLOOKUP(A19,총수신고!$M$6:$U$45,4,FALSE)</f>
        <v>90133.833431000006</v>
      </c>
      <c r="H19" s="18">
        <f t="shared" si="1"/>
        <v>102.20530160337458</v>
      </c>
      <c r="I19" s="316">
        <f t="shared" si="5"/>
        <v>1.8135336957500983</v>
      </c>
      <c r="J19" s="19">
        <f>VLOOKUP(A19,체크카드!$A$5:$D$44,2,FALSE)</f>
        <v>492000</v>
      </c>
      <c r="K19" s="19">
        <f>VLOOKUP(A19,체크카드!$A$5:$D$44,3,FALSE)</f>
        <v>467915.03700000001</v>
      </c>
      <c r="L19" s="18">
        <f t="shared" si="2"/>
        <v>95.10468231707317</v>
      </c>
      <c r="M19" s="316">
        <f t="shared" si="6"/>
        <v>2.0010276361497277</v>
      </c>
      <c r="N19" s="19">
        <f>VLOOKUP(A19,스마트금융!$A$5:$D$45,2,FALSE)</f>
        <v>14498</v>
      </c>
      <c r="O19" s="19">
        <f>VLOOKUP(A19,스마트금융!$A$5:$D$45,3,FALSE)</f>
        <v>14580</v>
      </c>
      <c r="P19" s="18">
        <f t="shared" si="3"/>
        <v>100.56559525451787</v>
      </c>
      <c r="Q19" s="316">
        <f t="shared" si="7"/>
        <v>1.0361391906301085</v>
      </c>
      <c r="R19" s="413">
        <f t="shared" si="8"/>
        <v>5.2070320611250649</v>
      </c>
      <c r="S19" s="415">
        <f t="shared" si="9"/>
        <v>6751</v>
      </c>
      <c r="T19" s="415">
        <f t="shared" si="10"/>
        <v>1894</v>
      </c>
      <c r="U19" s="423"/>
      <c r="V19" s="327"/>
      <c r="W19" s="328"/>
      <c r="X19" s="424">
        <v>720</v>
      </c>
      <c r="Y19" s="418">
        <f t="shared" si="11"/>
        <v>720</v>
      </c>
    </row>
    <row r="20" spans="1:25" ht="17.25">
      <c r="A20" s="26" t="s">
        <v>19</v>
      </c>
      <c r="B20" s="17">
        <f>VLOOKUP(A20,총수신고!$C$6:$I$45,2,FALSE)</f>
        <v>294194</v>
      </c>
      <c r="C20" s="17">
        <f>VLOOKUP(A20,총수신고!$C$6:$I$45,4,FALSE)</f>
        <v>320107.50024000002</v>
      </c>
      <c r="D20" s="18">
        <f t="shared" si="0"/>
        <v>108.80830344602541</v>
      </c>
      <c r="E20" s="330">
        <f t="shared" si="4"/>
        <v>0.33919956714844041</v>
      </c>
      <c r="F20" s="19">
        <f>VLOOKUP(A20,총수신고!$M$6:$U$45,2,FALSE)</f>
        <v>50574</v>
      </c>
      <c r="G20" s="19">
        <f>VLOOKUP(A20,총수신고!$M$6:$U$45,4,FALSE)</f>
        <v>54529.498098999997</v>
      </c>
      <c r="H20" s="18">
        <f t="shared" si="1"/>
        <v>107.82120872187289</v>
      </c>
      <c r="I20" s="316">
        <f t="shared" si="5"/>
        <v>1.068567251506962</v>
      </c>
      <c r="J20" s="19">
        <f>VLOOKUP(A20,체크카드!$A$5:$D$44,2,FALSE)</f>
        <v>210662</v>
      </c>
      <c r="K20" s="19">
        <f>VLOOKUP(A20,체크카드!$A$5:$D$44,3,FALSE)</f>
        <v>166284.068</v>
      </c>
      <c r="L20" s="18">
        <f t="shared" si="2"/>
        <v>78.934059298781932</v>
      </c>
      <c r="M20" s="316">
        <f t="shared" si="6"/>
        <v>0.78021369884051861</v>
      </c>
      <c r="N20" s="19">
        <f>VLOOKUP(A20,스마트금융!$A$5:$D$45,2,FALSE)</f>
        <v>8647</v>
      </c>
      <c r="O20" s="19">
        <f>VLOOKUP(A20,스마트금융!$A$5:$D$45,3,FALSE)</f>
        <v>8810</v>
      </c>
      <c r="P20" s="18">
        <f t="shared" si="3"/>
        <v>101.88504683705331</v>
      </c>
      <c r="Q20" s="316">
        <f t="shared" si="7"/>
        <v>0.62201520634353813</v>
      </c>
      <c r="R20" s="413">
        <f t="shared" si="8"/>
        <v>2.8099957238394593</v>
      </c>
      <c r="S20" s="415">
        <f t="shared" si="9"/>
        <v>3643</v>
      </c>
      <c r="T20" s="415">
        <f t="shared" si="10"/>
        <v>1022</v>
      </c>
      <c r="U20" s="423">
        <v>1000</v>
      </c>
      <c r="V20" s="327"/>
      <c r="W20" s="328"/>
      <c r="X20" s="424"/>
      <c r="Y20" s="418">
        <f t="shared" si="11"/>
        <v>0</v>
      </c>
    </row>
    <row r="21" spans="1:25" ht="17.25">
      <c r="A21" s="26" t="s">
        <v>20</v>
      </c>
      <c r="B21" s="17">
        <f>VLOOKUP(A21,총수신고!$C$6:$I$45,2,FALSE)</f>
        <v>245473</v>
      </c>
      <c r="C21" s="17">
        <f>VLOOKUP(A21,총수신고!$C$6:$I$45,4,FALSE)</f>
        <v>264922.55995999998</v>
      </c>
      <c r="D21" s="18">
        <f t="shared" si="0"/>
        <v>107.92329908380962</v>
      </c>
      <c r="E21" s="330">
        <f t="shared" si="4"/>
        <v>0.28186993268543359</v>
      </c>
      <c r="F21" s="19">
        <f>VLOOKUP(A21,총수신고!$M$6:$U$45,2,FALSE)</f>
        <v>51645</v>
      </c>
      <c r="G21" s="19">
        <f>VLOOKUP(A21,총수신고!$M$6:$U$45,4,FALSE)</f>
        <v>51221.426965999999</v>
      </c>
      <c r="H21" s="18">
        <f t="shared" si="1"/>
        <v>99.179837285313198</v>
      </c>
      <c r="I21" s="316">
        <f t="shared" si="5"/>
        <v>1.0463274586608833</v>
      </c>
      <c r="J21" s="19">
        <f>VLOOKUP(A21,체크카드!$A$5:$D$44,2,FALSE)</f>
        <v>189351</v>
      </c>
      <c r="K21" s="19">
        <f>VLOOKUP(A21,체크카드!$A$5:$D$44,3,FALSE)</f>
        <v>158718.003</v>
      </c>
      <c r="L21" s="18">
        <f t="shared" si="2"/>
        <v>83.822109732718602</v>
      </c>
      <c r="M21" s="316">
        <f t="shared" si="6"/>
        <v>0.72209138644892723</v>
      </c>
      <c r="N21" s="19">
        <f>VLOOKUP(A21,스마트금융!$A$5:$D$45,2,FALSE)</f>
        <v>6985</v>
      </c>
      <c r="O21" s="19">
        <f>VLOOKUP(A21,스마트금융!$A$5:$D$45,3,FALSE)</f>
        <v>7073</v>
      </c>
      <c r="P21" s="18">
        <f t="shared" si="3"/>
        <v>101.25984251968505</v>
      </c>
      <c r="Q21" s="316">
        <f t="shared" si="7"/>
        <v>0.50091657431576964</v>
      </c>
      <c r="R21" s="413">
        <f t="shared" si="8"/>
        <v>2.5512053521110141</v>
      </c>
      <c r="S21" s="415">
        <f t="shared" si="9"/>
        <v>3308</v>
      </c>
      <c r="T21" s="415">
        <f t="shared" si="10"/>
        <v>928</v>
      </c>
      <c r="U21" s="423"/>
      <c r="V21" s="327"/>
      <c r="W21" s="328"/>
      <c r="X21" s="424">
        <v>720</v>
      </c>
      <c r="Y21" s="418">
        <f t="shared" si="11"/>
        <v>720</v>
      </c>
    </row>
    <row r="22" spans="1:25" ht="17.25">
      <c r="A22" s="26" t="s">
        <v>21</v>
      </c>
      <c r="B22" s="17">
        <f>VLOOKUP(A22,총수신고!$C$6:$I$45,2,FALSE)</f>
        <v>147268</v>
      </c>
      <c r="C22" s="17">
        <f>VLOOKUP(A22,총수신고!$C$6:$I$45,4,FALSE)</f>
        <v>152010.858179</v>
      </c>
      <c r="D22" s="18">
        <f t="shared" si="0"/>
        <v>103.22056263343021</v>
      </c>
      <c r="E22" s="330">
        <f t="shared" si="4"/>
        <v>0.16542068313312241</v>
      </c>
      <c r="F22" s="19">
        <f>VLOOKUP(A22,총수신고!$M$6:$U$45,2,FALSE)</f>
        <v>48945</v>
      </c>
      <c r="G22" s="19">
        <f>VLOOKUP(A22,총수신고!$M$6:$U$45,4,FALSE)</f>
        <v>47886.807580000001</v>
      </c>
      <c r="H22" s="18">
        <f t="shared" si="1"/>
        <v>97.837996894473392</v>
      </c>
      <c r="I22" s="316">
        <f t="shared" si="5"/>
        <v>0.98502246134964155</v>
      </c>
      <c r="J22" s="19">
        <f>VLOOKUP(A22,체크카드!$A$5:$D$44,2,FALSE)</f>
        <v>273983</v>
      </c>
      <c r="K22" s="19">
        <f>VLOOKUP(A22,체크카드!$A$5:$D$44,3,FALSE)</f>
        <v>216547.302</v>
      </c>
      <c r="L22" s="18">
        <f t="shared" si="2"/>
        <v>79.036765784738478</v>
      </c>
      <c r="M22" s="316">
        <f t="shared" si="6"/>
        <v>1.0153636910111792</v>
      </c>
      <c r="N22" s="19">
        <f>VLOOKUP(A22,스마트금융!$A$5:$D$45,2,FALSE)</f>
        <v>8275</v>
      </c>
      <c r="O22" s="19">
        <f>VLOOKUP(A22,스마트금융!$A$5:$D$45,3,FALSE)</f>
        <v>8363</v>
      </c>
      <c r="P22" s="18">
        <f t="shared" si="3"/>
        <v>101.06344410876133</v>
      </c>
      <c r="Q22" s="316">
        <f t="shared" si="7"/>
        <v>0.59285199561940749</v>
      </c>
      <c r="R22" s="413">
        <f t="shared" si="8"/>
        <v>2.7586588311133506</v>
      </c>
      <c r="S22" s="415">
        <f t="shared" si="9"/>
        <v>3577</v>
      </c>
      <c r="T22" s="415">
        <f t="shared" si="10"/>
        <v>1003</v>
      </c>
      <c r="U22" s="423"/>
      <c r="V22" s="327"/>
      <c r="W22" s="328"/>
      <c r="X22" s="424">
        <v>720</v>
      </c>
      <c r="Y22" s="418">
        <f t="shared" si="11"/>
        <v>720</v>
      </c>
    </row>
    <row r="23" spans="1:25" ht="17.25">
      <c r="A23" s="26" t="s">
        <v>22</v>
      </c>
      <c r="B23" s="17">
        <f>VLOOKUP(A23,총수신고!$C$6:$I$45,2,FALSE)</f>
        <v>215956</v>
      </c>
      <c r="C23" s="17">
        <f>VLOOKUP(A23,총수신고!$C$6:$I$45,4,FALSE)</f>
        <v>227777.07628400001</v>
      </c>
      <c r="D23" s="18">
        <f t="shared" si="0"/>
        <v>105.47383554242531</v>
      </c>
      <c r="E23" s="330">
        <f t="shared" si="4"/>
        <v>0.24516320698072713</v>
      </c>
      <c r="F23" s="19">
        <f>VLOOKUP(A23,총수신고!$M$6:$U$45,2,FALSE)</f>
        <v>47487</v>
      </c>
      <c r="G23" s="19">
        <f>VLOOKUP(A23,총수신고!$M$6:$U$45,4,FALSE)</f>
        <v>46715.434061</v>
      </c>
      <c r="H23" s="18">
        <f t="shared" si="1"/>
        <v>98.375205974266649</v>
      </c>
      <c r="I23" s="316">
        <f t="shared" si="5"/>
        <v>0.95824486640917783</v>
      </c>
      <c r="J23" s="19">
        <f>VLOOKUP(A23,체크카드!$A$5:$D$44,2,FALSE)</f>
        <v>146150</v>
      </c>
      <c r="K23" s="19">
        <f>VLOOKUP(A23,체크카드!$A$5:$D$44,3,FALSE)</f>
        <v>142477.84899999999</v>
      </c>
      <c r="L23" s="18">
        <f t="shared" si="2"/>
        <v>97.487409510776587</v>
      </c>
      <c r="M23" s="316">
        <f t="shared" si="6"/>
        <v>0.60223898020534794</v>
      </c>
      <c r="N23" s="19">
        <f>VLOOKUP(A23,스마트금융!$A$5:$D$45,2,FALSE)</f>
        <v>6595</v>
      </c>
      <c r="O23" s="19">
        <f>VLOOKUP(A23,스마트금융!$A$5:$D$45,3,FALSE)</f>
        <v>6682</v>
      </c>
      <c r="P23" s="18">
        <f t="shared" si="3"/>
        <v>101.31918119787717</v>
      </c>
      <c r="Q23" s="316">
        <f t="shared" si="7"/>
        <v>0.47308678994118997</v>
      </c>
      <c r="R23" s="413">
        <f t="shared" si="8"/>
        <v>2.2787338435364428</v>
      </c>
      <c r="S23" s="415">
        <f t="shared" si="9"/>
        <v>2955</v>
      </c>
      <c r="T23" s="415">
        <f t="shared" si="10"/>
        <v>829</v>
      </c>
      <c r="U23" s="423"/>
      <c r="V23" s="327"/>
      <c r="W23" s="328"/>
      <c r="X23" s="424">
        <v>720</v>
      </c>
      <c r="Y23" s="418">
        <f t="shared" si="11"/>
        <v>720</v>
      </c>
    </row>
    <row r="24" spans="1:25" ht="17.25">
      <c r="A24" s="26" t="s">
        <v>23</v>
      </c>
      <c r="B24" s="17">
        <f>VLOOKUP(A24,총수신고!$C$6:$I$45,2,FALSE)</f>
        <v>288449</v>
      </c>
      <c r="C24" s="17">
        <f>VLOOKUP(A24,총수신고!$C$6:$I$45,4,FALSE)</f>
        <v>307367.70414699998</v>
      </c>
      <c r="D24" s="18">
        <f t="shared" si="0"/>
        <v>106.55876919212754</v>
      </c>
      <c r="E24" s="330">
        <f t="shared" si="4"/>
        <v>0.32912489900154274</v>
      </c>
      <c r="F24" s="19">
        <f>VLOOKUP(A24,총수신고!$M$6:$U$45,2,FALSE)</f>
        <v>35050</v>
      </c>
      <c r="G24" s="19">
        <f>VLOOKUP(A24,총수신고!$M$6:$U$45,4,FALSE)</f>
        <v>39599.168184000002</v>
      </c>
      <c r="H24" s="18">
        <f t="shared" si="1"/>
        <v>112.97908183737519</v>
      </c>
      <c r="I24" s="316">
        <f t="shared" si="5"/>
        <v>0.75873968098271383</v>
      </c>
      <c r="J24" s="19">
        <f>VLOOKUP(A24,체크카드!$A$5:$D$44,2,FALSE)</f>
        <v>137370</v>
      </c>
      <c r="K24" s="19">
        <f>VLOOKUP(A24,체크카드!$A$5:$D$44,3,FALSE)</f>
        <v>112152.467</v>
      </c>
      <c r="L24" s="18">
        <f t="shared" si="2"/>
        <v>81.642619931571673</v>
      </c>
      <c r="M24" s="316">
        <f t="shared" si="6"/>
        <v>0.51713130486617731</v>
      </c>
      <c r="N24" s="19">
        <f>VLOOKUP(A24,스마트금융!$A$5:$D$45,2,FALSE)</f>
        <v>7267</v>
      </c>
      <c r="O24" s="19">
        <f>VLOOKUP(A24,스마트금융!$A$5:$D$45,3,FALSE)</f>
        <v>7364</v>
      </c>
      <c r="P24" s="18">
        <f t="shared" si="3"/>
        <v>101.33480115591027</v>
      </c>
      <c r="Q24" s="316">
        <f t="shared" si="7"/>
        <v>0.52133227712253472</v>
      </c>
      <c r="R24" s="413">
        <f t="shared" si="8"/>
        <v>2.1263281619729688</v>
      </c>
      <c r="S24" s="415">
        <f t="shared" si="9"/>
        <v>2757</v>
      </c>
      <c r="T24" s="415">
        <f t="shared" si="10"/>
        <v>773</v>
      </c>
      <c r="U24" s="423"/>
      <c r="V24" s="327">
        <v>1000</v>
      </c>
      <c r="W24" s="328"/>
      <c r="X24" s="424"/>
      <c r="Y24" s="418">
        <f t="shared" si="11"/>
        <v>1000</v>
      </c>
    </row>
    <row r="25" spans="1:25" ht="17.25">
      <c r="A25" s="26" t="s">
        <v>96</v>
      </c>
      <c r="B25" s="17">
        <f>VLOOKUP(A25,총수신고!$C$6:$I$45,2,FALSE)</f>
        <v>173602</v>
      </c>
      <c r="C25" s="17">
        <f>VLOOKUP(A25,총수신고!$C$6:$I$45,4,FALSE)</f>
        <v>183258.35127499999</v>
      </c>
      <c r="D25" s="18">
        <f t="shared" si="0"/>
        <v>105.56235024654093</v>
      </c>
      <c r="E25" s="330">
        <f t="shared" si="4"/>
        <v>0.19716271366756613</v>
      </c>
      <c r="F25" s="19">
        <f>VLOOKUP(A25,총수신고!$M$6:$U$45,2,FALSE)</f>
        <v>39956</v>
      </c>
      <c r="G25" s="19">
        <f>VLOOKUP(A25,총수신고!$M$6:$U$45,4,FALSE)</f>
        <v>39991.796819000003</v>
      </c>
      <c r="H25" s="18">
        <f t="shared" si="1"/>
        <v>100.08959059715687</v>
      </c>
      <c r="I25" s="316">
        <f t="shared" si="5"/>
        <v>0.81316296113954223</v>
      </c>
      <c r="J25" s="19">
        <f>VLOOKUP(A25,체크카드!$A$5:$D$44,2,FALSE)</f>
        <v>216281</v>
      </c>
      <c r="K25" s="19">
        <f>VLOOKUP(A25,체크카드!$A$5:$D$44,3,FALSE)</f>
        <v>184194.837</v>
      </c>
      <c r="L25" s="18">
        <f t="shared" si="2"/>
        <v>85.164594670821756</v>
      </c>
      <c r="M25" s="316">
        <f t="shared" si="6"/>
        <v>0.83131603316674729</v>
      </c>
      <c r="N25" s="19">
        <f>VLOOKUP(A25,스마트금융!$A$5:$D$45,2,FALSE)</f>
        <v>8763</v>
      </c>
      <c r="O25" s="19">
        <f>VLOOKUP(A25,스마트금융!$A$5:$D$45,3,FALSE)</f>
        <v>8912</v>
      </c>
      <c r="P25" s="18">
        <f t="shared" si="3"/>
        <v>101.70033093689376</v>
      </c>
      <c r="Q25" s="316">
        <f t="shared" si="7"/>
        <v>0.62978730199018607</v>
      </c>
      <c r="R25" s="413">
        <f t="shared" si="8"/>
        <v>2.4714290099640417</v>
      </c>
      <c r="S25" s="415">
        <f t="shared" si="9"/>
        <v>3204</v>
      </c>
      <c r="T25" s="415">
        <f t="shared" si="10"/>
        <v>899</v>
      </c>
      <c r="U25" s="423"/>
      <c r="V25" s="327"/>
      <c r="W25" s="328"/>
      <c r="X25" s="424">
        <v>720</v>
      </c>
      <c r="Y25" s="418">
        <f t="shared" si="11"/>
        <v>720</v>
      </c>
    </row>
    <row r="26" spans="1:25" ht="17.25">
      <c r="A26" s="26" t="s">
        <v>97</v>
      </c>
      <c r="B26" s="17">
        <f>VLOOKUP(A26,총수신고!$C$6:$I$45,2,FALSE)</f>
        <v>140465</v>
      </c>
      <c r="C26" s="17">
        <f>VLOOKUP(A26,총수신고!$C$6:$I$45,4,FALSE)</f>
        <v>153314.261757</v>
      </c>
      <c r="D26" s="18">
        <f t="shared" si="0"/>
        <v>109.14766081016623</v>
      </c>
      <c r="E26" s="330">
        <f t="shared" si="4"/>
        <v>0.16220672886530449</v>
      </c>
      <c r="F26" s="19">
        <f>VLOOKUP(A26,총수신고!$M$6:$U$45,2,FALSE)</f>
        <v>37380</v>
      </c>
      <c r="G26" s="19">
        <f>VLOOKUP(A26,총수신고!$M$6:$U$45,4,FALSE)</f>
        <v>36064.520407999997</v>
      </c>
      <c r="H26" s="18">
        <f t="shared" si="1"/>
        <v>96.480792958801487</v>
      </c>
      <c r="I26" s="316">
        <f t="shared" si="5"/>
        <v>0.74717525991066358</v>
      </c>
      <c r="J26" s="19">
        <f>VLOOKUP(A26,체크카드!$A$5:$D$44,2,FALSE)</f>
        <v>193481</v>
      </c>
      <c r="K26" s="19">
        <f>VLOOKUP(A26,체크카드!$A$5:$D$44,3,FALSE)</f>
        <v>157472.44500000001</v>
      </c>
      <c r="L26" s="18">
        <f t="shared" si="2"/>
        <v>81.389100221727205</v>
      </c>
      <c r="M26" s="316">
        <f t="shared" si="6"/>
        <v>0.72725932821690897</v>
      </c>
      <c r="N26" s="19">
        <f>VLOOKUP(A26,스마트금융!$A$5:$D$45,2,FALSE)</f>
        <v>6419</v>
      </c>
      <c r="O26" s="19">
        <f>VLOOKUP(A26,스마트금융!$A$5:$D$45,3,FALSE)</f>
        <v>6700</v>
      </c>
      <c r="P26" s="18">
        <f t="shared" si="3"/>
        <v>104.37762891416109</v>
      </c>
      <c r="Q26" s="316">
        <f t="shared" si="7"/>
        <v>0.46740247025097781</v>
      </c>
      <c r="R26" s="413">
        <f t="shared" si="8"/>
        <v>2.1040437872438549</v>
      </c>
      <c r="S26" s="415">
        <f t="shared" si="9"/>
        <v>2728</v>
      </c>
      <c r="T26" s="415">
        <f t="shared" si="10"/>
        <v>765</v>
      </c>
      <c r="U26" s="423"/>
      <c r="V26" s="327"/>
      <c r="W26" s="328"/>
      <c r="X26" s="424">
        <v>720</v>
      </c>
      <c r="Y26" s="418">
        <f t="shared" si="11"/>
        <v>720</v>
      </c>
    </row>
    <row r="27" spans="1:25" ht="17.25">
      <c r="A27" s="26" t="s">
        <v>98</v>
      </c>
      <c r="B27" s="17">
        <f>VLOOKUP(A27,총수신고!$C$6:$I$45,2,FALSE)</f>
        <v>364169</v>
      </c>
      <c r="C27" s="17">
        <f>VLOOKUP(A27,총수신고!$C$6:$I$45,4,FALSE)</f>
        <v>388382.50229600002</v>
      </c>
      <c r="D27" s="18">
        <f t="shared" si="0"/>
        <v>106.64897404666516</v>
      </c>
      <c r="E27" s="330">
        <f t="shared" si="4"/>
        <v>0.41569732328425596</v>
      </c>
      <c r="F27" s="19">
        <f>VLOOKUP(A27,총수신고!$M$6:$U$45,2,FALSE)</f>
        <v>85242</v>
      </c>
      <c r="G27" s="19">
        <f>VLOOKUP(A27,총수신고!$M$6:$U$45,4,FALSE)</f>
        <v>89082.789755999998</v>
      </c>
      <c r="H27" s="18">
        <f t="shared" si="1"/>
        <v>104.5057480537763</v>
      </c>
      <c r="I27" s="316">
        <f t="shared" si="5"/>
        <v>1.7726461619097009</v>
      </c>
      <c r="J27" s="19">
        <f>VLOOKUP(A27,체크카드!$A$5:$D$44,2,FALSE)</f>
        <v>370979</v>
      </c>
      <c r="K27" s="19">
        <f>VLOOKUP(A27,체크카드!$A$5:$D$44,3,FALSE)</f>
        <v>307147.88199999998</v>
      </c>
      <c r="L27" s="18">
        <f t="shared" si="2"/>
        <v>82.793872968550772</v>
      </c>
      <c r="M27" s="316">
        <f t="shared" si="6"/>
        <v>1.4061563043435197</v>
      </c>
      <c r="N27" s="19">
        <f>VLOOKUP(A27,스마트금융!$A$5:$D$45,2,FALSE)</f>
        <v>10119</v>
      </c>
      <c r="O27" s="19">
        <f>VLOOKUP(A27,스마트금융!$A$5:$D$45,3,FALSE)</f>
        <v>10353</v>
      </c>
      <c r="P27" s="18">
        <f t="shared" si="3"/>
        <v>102.31248147050103</v>
      </c>
      <c r="Q27" s="316">
        <f t="shared" si="7"/>
        <v>0.72943154365282048</v>
      </c>
      <c r="R27" s="413">
        <f t="shared" si="8"/>
        <v>4.3239313331902967</v>
      </c>
      <c r="S27" s="415">
        <f t="shared" si="9"/>
        <v>5606</v>
      </c>
      <c r="T27" s="415">
        <f t="shared" si="10"/>
        <v>1573</v>
      </c>
      <c r="U27" s="423"/>
      <c r="V27" s="327"/>
      <c r="W27" s="328"/>
      <c r="X27" s="424">
        <v>720</v>
      </c>
      <c r="Y27" s="418">
        <f t="shared" si="11"/>
        <v>720</v>
      </c>
    </row>
    <row r="28" spans="1:25" ht="17.25">
      <c r="A28" s="26" t="s">
        <v>99</v>
      </c>
      <c r="B28" s="17">
        <f>VLOOKUP(A28,총수신고!$C$6:$I$45,2,FALSE)</f>
        <v>195824</v>
      </c>
      <c r="C28" s="17">
        <f>VLOOKUP(A28,총수신고!$C$6:$I$45,4,FALSE)</f>
        <v>221432.97364700001</v>
      </c>
      <c r="D28" s="18">
        <f t="shared" si="0"/>
        <v>113.07754598363837</v>
      </c>
      <c r="E28" s="330">
        <f t="shared" si="4"/>
        <v>0.23022706064331874</v>
      </c>
      <c r="F28" s="19">
        <f>VLOOKUP(A28,총수신고!$M$6:$U$45,2,FALSE)</f>
        <v>53537</v>
      </c>
      <c r="G28" s="19">
        <f>VLOOKUP(A28,총수신고!$M$6:$U$45,4,FALSE)</f>
        <v>52454.870233000001</v>
      </c>
      <c r="H28" s="18">
        <f t="shared" si="1"/>
        <v>97.978725429142472</v>
      </c>
      <c r="I28" s="316">
        <f t="shared" si="5"/>
        <v>1.0781943443182624</v>
      </c>
      <c r="J28" s="19">
        <f>VLOOKUP(A28,체크카드!$A$5:$D$44,2,FALSE)</f>
        <v>288782</v>
      </c>
      <c r="K28" s="19">
        <f>VLOOKUP(A28,체크카드!$A$5:$D$44,3,FALSE)</f>
        <v>233724.989</v>
      </c>
      <c r="L28" s="18">
        <f t="shared" si="2"/>
        <v>80.934749742019932</v>
      </c>
      <c r="M28" s="316">
        <f t="shared" si="6"/>
        <v>1.0825287329652158</v>
      </c>
      <c r="N28" s="19">
        <f>VLOOKUP(A28,스마트금융!$A$5:$D$45,2,FALSE)</f>
        <v>8313</v>
      </c>
      <c r="O28" s="19">
        <f>VLOOKUP(A28,스마트금융!$A$5:$D$45,3,FALSE)</f>
        <v>8465</v>
      </c>
      <c r="P28" s="18">
        <f t="shared" si="3"/>
        <v>101.82846144592806</v>
      </c>
      <c r="Q28" s="316">
        <f t="shared" si="7"/>
        <v>0.59782287022098457</v>
      </c>
      <c r="R28" s="413">
        <f t="shared" si="8"/>
        <v>2.9887730081477817</v>
      </c>
      <c r="S28" s="415">
        <f t="shared" si="9"/>
        <v>3875</v>
      </c>
      <c r="T28" s="415">
        <f t="shared" si="10"/>
        <v>1087</v>
      </c>
      <c r="U28" s="423"/>
      <c r="V28" s="327"/>
      <c r="W28" s="328"/>
      <c r="X28" s="424">
        <v>720</v>
      </c>
      <c r="Y28" s="418">
        <f t="shared" si="11"/>
        <v>720</v>
      </c>
    </row>
    <row r="29" spans="1:25" ht="17.25">
      <c r="A29" s="26" t="s">
        <v>28</v>
      </c>
      <c r="B29" s="17">
        <f>VLOOKUP(A29,총수신고!$C$6:$I$45,2,FALSE)</f>
        <v>168242</v>
      </c>
      <c r="C29" s="17">
        <f>VLOOKUP(A29,총수신고!$C$6:$I$45,4,FALSE)</f>
        <v>185158.21844299999</v>
      </c>
      <c r="D29" s="18">
        <f t="shared" si="0"/>
        <v>110.05469409719333</v>
      </c>
      <c r="E29" s="330">
        <f t="shared" si="4"/>
        <v>0.19509471445578874</v>
      </c>
      <c r="F29" s="19">
        <f>VLOOKUP(A29,총수신고!$M$6:$U$45,2,FALSE)</f>
        <v>44175</v>
      </c>
      <c r="G29" s="19">
        <f>VLOOKUP(A29,총수신고!$M$6:$U$45,4,FALSE)</f>
        <v>45142.536523000002</v>
      </c>
      <c r="H29" s="18">
        <f t="shared" si="1"/>
        <v>102.19023547934351</v>
      </c>
      <c r="I29" s="316">
        <f t="shared" si="5"/>
        <v>0.9083553506040597</v>
      </c>
      <c r="J29" s="19">
        <f>VLOOKUP(A29,체크카드!$A$5:$D$44,2,FALSE)</f>
        <v>211366</v>
      </c>
      <c r="K29" s="19">
        <f>VLOOKUP(A29,체크카드!$A$5:$D$44,3,FALSE)</f>
        <v>175614.12400000001</v>
      </c>
      <c r="L29" s="18">
        <f t="shared" si="2"/>
        <v>83.085323088860079</v>
      </c>
      <c r="M29" s="316">
        <f t="shared" si="6"/>
        <v>0.80254503642090091</v>
      </c>
      <c r="N29" s="19">
        <f>VLOOKUP(A29,스마트금융!$A$5:$D$45,2,FALSE)</f>
        <v>6592</v>
      </c>
      <c r="O29" s="19">
        <f>VLOOKUP(A29,스마트금융!$A$5:$D$45,3,FALSE)</f>
        <v>6745</v>
      </c>
      <c r="P29" s="18">
        <f t="shared" si="3"/>
        <v>102.32099514563106</v>
      </c>
      <c r="Q29" s="316">
        <f t="shared" si="7"/>
        <v>0.47520639539247933</v>
      </c>
      <c r="R29" s="413">
        <f t="shared" si="8"/>
        <v>2.3812014968732287</v>
      </c>
      <c r="S29" s="415">
        <f t="shared" si="9"/>
        <v>3087</v>
      </c>
      <c r="T29" s="415">
        <f t="shared" si="10"/>
        <v>866</v>
      </c>
      <c r="U29" s="423"/>
      <c r="V29" s="327"/>
      <c r="W29" s="328"/>
      <c r="X29" s="424">
        <v>720</v>
      </c>
      <c r="Y29" s="418">
        <f t="shared" si="11"/>
        <v>720</v>
      </c>
    </row>
    <row r="30" spans="1:25" ht="17.25">
      <c r="A30" s="26" t="s">
        <v>29</v>
      </c>
      <c r="B30" s="17">
        <f>VLOOKUP(A30,총수신고!$C$6:$I$45,2,FALSE)</f>
        <v>146079</v>
      </c>
      <c r="C30" s="17">
        <f>VLOOKUP(A30,총수신고!$C$6:$I$45,4,FALSE)</f>
        <v>168031.516462</v>
      </c>
      <c r="D30" s="18">
        <f t="shared" si="0"/>
        <v>115.02783867770179</v>
      </c>
      <c r="E30" s="330">
        <f t="shared" si="4"/>
        <v>0.17325779769727376</v>
      </c>
      <c r="F30" s="19">
        <f>VLOOKUP(A30,총수신고!$M$6:$U$45,2,FALSE)</f>
        <v>37777</v>
      </c>
      <c r="G30" s="19">
        <f>VLOOKUP(A30,총수신고!$M$6:$U$45,4,FALSE)</f>
        <v>38306.152844999997</v>
      </c>
      <c r="H30" s="18">
        <f t="shared" si="1"/>
        <v>101.40072754586123</v>
      </c>
      <c r="I30" s="316">
        <f t="shared" si="5"/>
        <v>0.77379688689042581</v>
      </c>
      <c r="J30" s="19">
        <f>VLOOKUP(A30,체크카드!$A$5:$D$44,2,FALSE)</f>
        <v>183175</v>
      </c>
      <c r="K30" s="19">
        <f>VLOOKUP(A30,체크카드!$A$5:$D$44,3,FALSE)</f>
        <v>154983.24400000001</v>
      </c>
      <c r="L30" s="18">
        <f t="shared" si="2"/>
        <v>84.60938665210864</v>
      </c>
      <c r="M30" s="316">
        <f t="shared" si="6"/>
        <v>0.70178086698530895</v>
      </c>
      <c r="N30" s="19">
        <f>VLOOKUP(A30,스마트금융!$A$5:$D$45,2,FALSE)</f>
        <v>5494</v>
      </c>
      <c r="O30" s="19">
        <f>VLOOKUP(A30,스마트금융!$A$5:$D$45,3,FALSE)</f>
        <v>5640</v>
      </c>
      <c r="P30" s="18">
        <f t="shared" si="3"/>
        <v>102.65744448489261</v>
      </c>
      <c r="Q30" s="316">
        <f t="shared" si="7"/>
        <v>0.39670690288479143</v>
      </c>
      <c r="R30" s="413">
        <f t="shared" si="8"/>
        <v>2.0455424544578</v>
      </c>
      <c r="S30" s="415">
        <f t="shared" si="9"/>
        <v>2652</v>
      </c>
      <c r="T30" s="415">
        <f t="shared" si="10"/>
        <v>744</v>
      </c>
      <c r="U30" s="423"/>
      <c r="V30" s="327"/>
      <c r="W30" s="328"/>
      <c r="X30" s="424">
        <v>720</v>
      </c>
      <c r="Y30" s="418">
        <f t="shared" si="11"/>
        <v>720</v>
      </c>
    </row>
    <row r="31" spans="1:25" ht="17.25">
      <c r="A31" s="26" t="s">
        <v>100</v>
      </c>
      <c r="B31" s="17">
        <f>VLOOKUP(A31,총수신고!$C$6:$I$45,2,FALSE)</f>
        <v>101621</v>
      </c>
      <c r="C31" s="17">
        <f>VLOOKUP(A31,총수신고!$C$6:$I$45,4,FALSE)</f>
        <v>104576.84850199999</v>
      </c>
      <c r="D31" s="18">
        <f t="shared" si="0"/>
        <v>102.90869849932591</v>
      </c>
      <c r="E31" s="330">
        <f t="shared" si="4"/>
        <v>0.11397855910476476</v>
      </c>
      <c r="F31" s="19">
        <f>VLOOKUP(A31,총수신고!$M$6:$U$45,2,FALSE)</f>
        <v>24369</v>
      </c>
      <c r="G31" s="19">
        <f>VLOOKUP(A31,총수신고!$M$6:$U$45,4,FALSE)</f>
        <v>24714.680156999999</v>
      </c>
      <c r="H31" s="18">
        <f t="shared" si="1"/>
        <v>101.41852417825925</v>
      </c>
      <c r="I31" s="316">
        <f t="shared" si="5"/>
        <v>0.49920066433367227</v>
      </c>
      <c r="J31" s="19">
        <f>VLOOKUP(A31,체크카드!$A$5:$D$44,2,FALSE)</f>
        <v>123179</v>
      </c>
      <c r="K31" s="19">
        <f>VLOOKUP(A31,체크카드!$A$5:$D$44,3,FALSE)</f>
        <v>105864.985</v>
      </c>
      <c r="L31" s="18">
        <f t="shared" si="2"/>
        <v>85.944020490505693</v>
      </c>
      <c r="M31" s="316">
        <f t="shared" si="6"/>
        <v>0.47561946804128197</v>
      </c>
      <c r="N31" s="19">
        <f>VLOOKUP(A31,스마트금융!$A$5:$D$45,2,FALSE)</f>
        <v>3779</v>
      </c>
      <c r="O31" s="19">
        <f>VLOOKUP(A31,스마트금융!$A$5:$D$45,3,FALSE)</f>
        <v>3871</v>
      </c>
      <c r="P31" s="18">
        <f t="shared" si="3"/>
        <v>102.43450648319661</v>
      </c>
      <c r="Q31" s="316">
        <f t="shared" si="7"/>
        <v>0.27257352736979523</v>
      </c>
      <c r="R31" s="413">
        <f t="shared" si="8"/>
        <v>1.3613722188495143</v>
      </c>
      <c r="S31" s="415">
        <f t="shared" si="9"/>
        <v>1765</v>
      </c>
      <c r="T31" s="415">
        <f t="shared" si="10"/>
        <v>495</v>
      </c>
      <c r="U31" s="423"/>
      <c r="V31" s="327"/>
      <c r="W31" s="328"/>
      <c r="X31" s="424">
        <v>720</v>
      </c>
      <c r="Y31" s="418">
        <f t="shared" si="11"/>
        <v>720</v>
      </c>
    </row>
    <row r="32" spans="1:25" ht="17.25">
      <c r="A32" s="26" t="s">
        <v>101</v>
      </c>
      <c r="B32" s="17">
        <f>VLOOKUP(A32,총수신고!$C$6:$I$45,2,FALSE)</f>
        <v>111060</v>
      </c>
      <c r="C32" s="17">
        <f>VLOOKUP(A32,총수신고!$C$6:$I$45,4,FALSE)</f>
        <v>121717.890132</v>
      </c>
      <c r="D32" s="18">
        <f t="shared" si="0"/>
        <v>109.59651551593733</v>
      </c>
      <c r="E32" s="330">
        <f t="shared" si="4"/>
        <v>0.12851541397667088</v>
      </c>
      <c r="F32" s="19">
        <f>VLOOKUP(A32,총수신고!$M$6:$U$45,2,FALSE)</f>
        <v>36775</v>
      </c>
      <c r="G32" s="19">
        <f>VLOOKUP(A32,총수신고!$M$6:$U$45,4,FALSE)</f>
        <v>35924.910843999998</v>
      </c>
      <c r="H32" s="18">
        <f t="shared" si="1"/>
        <v>97.688404742352148</v>
      </c>
      <c r="I32" s="316">
        <f t="shared" si="5"/>
        <v>0.73954704511561931</v>
      </c>
      <c r="J32" s="19">
        <f>VLOOKUP(A32,체크카드!$A$5:$D$44,2,FALSE)</f>
        <v>129433</v>
      </c>
      <c r="K32" s="19">
        <f>VLOOKUP(A32,체크카드!$A$5:$D$44,3,FALSE)</f>
        <v>105741.68</v>
      </c>
      <c r="L32" s="18">
        <f t="shared" si="2"/>
        <v>81.696074416879767</v>
      </c>
      <c r="M32" s="316">
        <f t="shared" si="6"/>
        <v>0.48740788419491132</v>
      </c>
      <c r="N32" s="19">
        <f>VLOOKUP(A32,스마트금융!$A$5:$D$45,2,FALSE)</f>
        <v>4429</v>
      </c>
      <c r="O32" s="19">
        <f>VLOOKUP(A32,스마트금융!$A$5:$D$45,3,FALSE)</f>
        <v>4580</v>
      </c>
      <c r="P32" s="18">
        <f t="shared" si="3"/>
        <v>103.4093474825017</v>
      </c>
      <c r="Q32" s="316">
        <f t="shared" si="7"/>
        <v>0.32098350287360589</v>
      </c>
      <c r="R32" s="413">
        <f t="shared" si="8"/>
        <v>1.6764538461608074</v>
      </c>
      <c r="S32" s="415">
        <f t="shared" si="9"/>
        <v>2174</v>
      </c>
      <c r="T32" s="415">
        <f t="shared" si="10"/>
        <v>610</v>
      </c>
      <c r="U32" s="423"/>
      <c r="V32" s="327">
        <v>1000</v>
      </c>
      <c r="W32" s="328"/>
      <c r="X32" s="424"/>
      <c r="Y32" s="418">
        <f t="shared" si="11"/>
        <v>1000</v>
      </c>
    </row>
    <row r="33" spans="1:25" ht="17.25">
      <c r="A33" s="26" t="s">
        <v>102</v>
      </c>
      <c r="B33" s="17">
        <f>VLOOKUP(A33,총수신고!$C$6:$I$45,2,FALSE)</f>
        <v>110239</v>
      </c>
      <c r="C33" s="17">
        <f>VLOOKUP(A33,총수신고!$C$6:$I$45,4,FALSE)</f>
        <v>116593.267804</v>
      </c>
      <c r="D33" s="18">
        <f t="shared" si="0"/>
        <v>105.76408331352789</v>
      </c>
      <c r="E33" s="330">
        <f t="shared" si="4"/>
        <v>0.12531855694027991</v>
      </c>
      <c r="F33" s="19">
        <f>VLOOKUP(A33,총수신고!$M$6:$U$45,2,FALSE)</f>
        <v>35182</v>
      </c>
      <c r="G33" s="19">
        <f>VLOOKUP(A33,총수신고!$M$6:$U$45,4,FALSE)</f>
        <v>36382.531730000002</v>
      </c>
      <c r="H33" s="18">
        <f t="shared" si="1"/>
        <v>103.4123464555739</v>
      </c>
      <c r="I33" s="316">
        <f t="shared" si="5"/>
        <v>0.72775816864501097</v>
      </c>
      <c r="J33" s="19">
        <f>VLOOKUP(A33,체크카드!$A$5:$D$44,2,FALSE)</f>
        <v>161446</v>
      </c>
      <c r="K33" s="19">
        <f>VLOOKUP(A33,체크카드!$A$5:$D$44,3,FALSE)</f>
        <v>132663.364</v>
      </c>
      <c r="L33" s="18">
        <f t="shared" si="2"/>
        <v>82.17197329137916</v>
      </c>
      <c r="M33" s="316">
        <f t="shared" si="6"/>
        <v>0.60968685640898868</v>
      </c>
      <c r="N33" s="19">
        <f>VLOOKUP(A33,스마트금융!$A$5:$D$45,2,FALSE)</f>
        <v>4406</v>
      </c>
      <c r="O33" s="19">
        <f>VLOOKUP(A33,스마트금융!$A$5:$D$45,3,FALSE)</f>
        <v>4487</v>
      </c>
      <c r="P33" s="18">
        <f t="shared" si="3"/>
        <v>101.83840217884703</v>
      </c>
      <c r="Q33" s="316">
        <f t="shared" si="7"/>
        <v>0.31686951673002928</v>
      </c>
      <c r="R33" s="413">
        <f t="shared" si="8"/>
        <v>1.779633098724309</v>
      </c>
      <c r="S33" s="415">
        <f t="shared" si="9"/>
        <v>2307</v>
      </c>
      <c r="T33" s="415">
        <f t="shared" si="10"/>
        <v>647</v>
      </c>
      <c r="U33" s="423"/>
      <c r="V33" s="327">
        <v>700</v>
      </c>
      <c r="W33" s="328">
        <v>1000</v>
      </c>
      <c r="X33" s="424"/>
      <c r="Y33" s="418">
        <f t="shared" si="11"/>
        <v>1700</v>
      </c>
    </row>
    <row r="34" spans="1:25" ht="17.25">
      <c r="A34" s="26" t="s">
        <v>103</v>
      </c>
      <c r="B34" s="17">
        <f>VLOOKUP(A34,총수신고!$C$6:$I$45,2,FALSE)</f>
        <v>111388</v>
      </c>
      <c r="C34" s="17">
        <f>VLOOKUP(A34,총수신고!$C$6:$I$45,4,FALSE)</f>
        <v>122640.760498</v>
      </c>
      <c r="D34" s="18">
        <f t="shared" si="0"/>
        <v>110.10230949294359</v>
      </c>
      <c r="E34" s="330">
        <f t="shared" si="4"/>
        <v>0.12919458588149532</v>
      </c>
      <c r="F34" s="19">
        <f>VLOOKUP(A34,총수신고!$M$6:$U$45,2,FALSE)</f>
        <v>30447</v>
      </c>
      <c r="G34" s="19">
        <f>VLOOKUP(A34,총수신고!$M$6:$U$45,4,FALSE)</f>
        <v>31980.410363999999</v>
      </c>
      <c r="H34" s="18">
        <f t="shared" si="1"/>
        <v>105.03632661345945</v>
      </c>
      <c r="I34" s="316">
        <f t="shared" si="5"/>
        <v>0.63478336675238978</v>
      </c>
      <c r="J34" s="19">
        <f>VLOOKUP(A34,체크카드!$A$5:$D$44,2,FALSE)</f>
        <v>128698</v>
      </c>
      <c r="K34" s="19">
        <f>VLOOKUP(A34,체크카드!$A$5:$D$44,3,FALSE)</f>
        <v>108633.501</v>
      </c>
      <c r="L34" s="18">
        <f t="shared" si="2"/>
        <v>84.409626412220859</v>
      </c>
      <c r="M34" s="316">
        <f t="shared" si="6"/>
        <v>0.49249043484007049</v>
      </c>
      <c r="N34" s="19">
        <f>VLOOKUP(A34,스마트금융!$A$5:$D$45,2,FALSE)</f>
        <v>4102</v>
      </c>
      <c r="O34" s="19">
        <f>VLOOKUP(A34,스마트금융!$A$5:$D$45,3,FALSE)</f>
        <v>4149</v>
      </c>
      <c r="P34" s="18">
        <f t="shared" si="3"/>
        <v>101.14578254509996</v>
      </c>
      <c r="Q34" s="316">
        <f t="shared" si="7"/>
        <v>0.29400205606403546</v>
      </c>
      <c r="R34" s="413">
        <f t="shared" si="8"/>
        <v>1.550470443537991</v>
      </c>
      <c r="S34" s="415">
        <f t="shared" si="9"/>
        <v>2010</v>
      </c>
      <c r="T34" s="415">
        <f t="shared" si="10"/>
        <v>564</v>
      </c>
      <c r="U34" s="423"/>
      <c r="V34" s="327"/>
      <c r="W34" s="328"/>
      <c r="X34" s="424">
        <v>720</v>
      </c>
      <c r="Y34" s="418">
        <f t="shared" si="11"/>
        <v>720</v>
      </c>
    </row>
    <row r="35" spans="1:25" ht="17.25">
      <c r="A35" s="26" t="s">
        <v>104</v>
      </c>
      <c r="B35" s="17">
        <f>VLOOKUP(A35,총수신고!$C$6:$I$45,2,FALSE)</f>
        <v>138961</v>
      </c>
      <c r="C35" s="17">
        <f>VLOOKUP(A35,총수신고!$C$6:$I$45,4,FALSE)</f>
        <v>147439.475661</v>
      </c>
      <c r="D35" s="18">
        <f t="shared" si="0"/>
        <v>106.10133466296298</v>
      </c>
      <c r="E35" s="330">
        <f t="shared" si="4"/>
        <v>0.15821866271337215</v>
      </c>
      <c r="F35" s="19">
        <f>VLOOKUP(A35,총수신고!$M$6:$U$45,2,FALSE)</f>
        <v>26692</v>
      </c>
      <c r="G35" s="19">
        <f>VLOOKUP(A35,총수신고!$M$6:$U$45,4,FALSE)</f>
        <v>27137.878205000001</v>
      </c>
      <c r="H35" s="18">
        <f t="shared" si="1"/>
        <v>101.67045633523153</v>
      </c>
      <c r="I35" s="316">
        <f t="shared" si="5"/>
        <v>0.54746356037394062</v>
      </c>
      <c r="J35" s="19">
        <f>VLOOKUP(A35,체크카드!$A$5:$D$44,2,FALSE)</f>
        <v>99260</v>
      </c>
      <c r="K35" s="19">
        <f>VLOOKUP(A35,체크카드!$A$5:$D$44,3,FALSE)</f>
        <v>83121.611000000004</v>
      </c>
      <c r="L35" s="18">
        <f t="shared" si="2"/>
        <v>83.74129659480154</v>
      </c>
      <c r="M35" s="316">
        <f t="shared" si="6"/>
        <v>0.37834840013504717</v>
      </c>
      <c r="N35" s="19">
        <f>VLOOKUP(A35,스마트금융!$A$5:$D$45,2,FALSE)</f>
        <v>4481</v>
      </c>
      <c r="O35" s="19">
        <f>VLOOKUP(A35,스마트금융!$A$5:$D$45,3,FALSE)</f>
        <v>4566</v>
      </c>
      <c r="P35" s="18">
        <f t="shared" si="3"/>
        <v>101.89689801383619</v>
      </c>
      <c r="Q35" s="316">
        <f t="shared" si="7"/>
        <v>0.32235601807648573</v>
      </c>
      <c r="R35" s="413">
        <f t="shared" si="8"/>
        <v>1.4063866412988457</v>
      </c>
      <c r="S35" s="415">
        <f t="shared" si="9"/>
        <v>1824</v>
      </c>
      <c r="T35" s="415">
        <f t="shared" si="10"/>
        <v>512</v>
      </c>
      <c r="U35" s="423"/>
      <c r="V35" s="327"/>
      <c r="W35" s="328"/>
      <c r="X35" s="424">
        <v>720</v>
      </c>
      <c r="Y35" s="418">
        <f t="shared" si="11"/>
        <v>720</v>
      </c>
    </row>
    <row r="36" spans="1:25" ht="17.25">
      <c r="A36" s="26" t="s">
        <v>105</v>
      </c>
      <c r="B36" s="17">
        <f>VLOOKUP(A36,총수신고!$C$6:$I$45,2,FALSE)</f>
        <v>101589</v>
      </c>
      <c r="C36" s="17">
        <f>VLOOKUP(A36,총수신고!$C$6:$I$45,4,FALSE)</f>
        <v>103938.275413</v>
      </c>
      <c r="D36" s="18">
        <f t="shared" si="0"/>
        <v>102.31252932207227</v>
      </c>
      <c r="E36" s="330">
        <f t="shared" si="4"/>
        <v>0.11362057967379263</v>
      </c>
      <c r="F36" s="19">
        <f>VLOOKUP(A36,총수신고!$M$6:$U$45,2,FALSE)</f>
        <v>25162</v>
      </c>
      <c r="G36" s="19">
        <f>VLOOKUP(A36,총수신고!$M$6:$U$45,4,FALSE)</f>
        <v>23543.679889999999</v>
      </c>
      <c r="H36" s="18">
        <f t="shared" si="1"/>
        <v>93.568396351641354</v>
      </c>
      <c r="I36" s="316">
        <f t="shared" si="5"/>
        <v>0.49558644956875875</v>
      </c>
      <c r="J36" s="19">
        <f>VLOOKUP(A36,체크카드!$A$5:$D$44,2,FALSE)</f>
        <v>63300</v>
      </c>
      <c r="K36" s="19">
        <f>VLOOKUP(A36,체크카드!$A$5:$D$44,3,FALSE)</f>
        <v>55861.654000000002</v>
      </c>
      <c r="L36" s="18">
        <f t="shared" si="2"/>
        <v>88.249058451816751</v>
      </c>
      <c r="M36" s="316">
        <f t="shared" si="6"/>
        <v>0.24769422922821147</v>
      </c>
      <c r="N36" s="19">
        <f>VLOOKUP(A36,스마트금융!$A$5:$D$45,2,FALSE)</f>
        <v>2673</v>
      </c>
      <c r="O36" s="19">
        <f>VLOOKUP(A36,스마트금융!$A$5:$D$45,3,FALSE)</f>
        <v>2653</v>
      </c>
      <c r="P36" s="18">
        <f t="shared" si="3"/>
        <v>99.251777029554816</v>
      </c>
      <c r="Q36" s="316">
        <f t="shared" si="7"/>
        <v>0.18979165151073174</v>
      </c>
      <c r="R36" s="413">
        <f t="shared" si="8"/>
        <v>1.0466929099814946</v>
      </c>
      <c r="S36" s="415">
        <f t="shared" si="9"/>
        <v>1357</v>
      </c>
      <c r="T36" s="415">
        <f t="shared" si="10"/>
        <v>381</v>
      </c>
      <c r="U36" s="423"/>
      <c r="V36" s="327">
        <v>700</v>
      </c>
      <c r="W36" s="328"/>
      <c r="X36" s="424"/>
      <c r="Y36" s="418">
        <f t="shared" si="11"/>
        <v>700</v>
      </c>
    </row>
    <row r="37" spans="1:25" ht="17.25">
      <c r="A37" s="26" t="s">
        <v>106</v>
      </c>
      <c r="B37" s="17">
        <f>VLOOKUP(A37,총수신고!$C$6:$I$45,2,FALSE)</f>
        <v>63569</v>
      </c>
      <c r="C37" s="17">
        <f>VLOOKUP(A37,총수신고!$C$6:$I$45,4,FALSE)</f>
        <v>66443.908641999995</v>
      </c>
      <c r="D37" s="18">
        <f t="shared" si="0"/>
        <v>104.52250097059887</v>
      </c>
      <c r="E37" s="330">
        <f t="shared" si="4"/>
        <v>7.1844843780674753E-2</v>
      </c>
      <c r="F37" s="19">
        <f>VLOOKUP(A37,총수신고!$M$6:$U$45,2,FALSE)</f>
        <v>20737</v>
      </c>
      <c r="G37" s="19">
        <f>VLOOKUP(A37,총수신고!$M$6:$U$45,4,FALSE)</f>
        <v>20683.245212999998</v>
      </c>
      <c r="H37" s="18">
        <f t="shared" si="1"/>
        <v>99.740778381636687</v>
      </c>
      <c r="I37" s="316">
        <f t="shared" si="5"/>
        <v>0.42130101156292876</v>
      </c>
      <c r="J37" s="19">
        <f>VLOOKUP(A37,체크카드!$A$5:$D$44,2,FALSE)</f>
        <v>90004</v>
      </c>
      <c r="K37" s="19">
        <f>VLOOKUP(A37,체크카드!$A$5:$D$44,3,FALSE)</f>
        <v>75408.706000000006</v>
      </c>
      <c r="L37" s="18">
        <f t="shared" si="2"/>
        <v>83.783727389893798</v>
      </c>
      <c r="M37" s="316">
        <f t="shared" si="6"/>
        <v>0.34315323917624579</v>
      </c>
      <c r="N37" s="19">
        <f>VLOOKUP(A37,스마트금융!$A$5:$D$45,2,FALSE)</f>
        <v>2657</v>
      </c>
      <c r="O37" s="19">
        <f>VLOOKUP(A37,스마트금융!$A$5:$D$45,3,FALSE)</f>
        <v>2650</v>
      </c>
      <c r="P37" s="18">
        <f t="shared" si="3"/>
        <v>99.736544975536319</v>
      </c>
      <c r="Q37" s="316">
        <f t="shared" si="7"/>
        <v>0.18911097803119598</v>
      </c>
      <c r="R37" s="413">
        <f t="shared" si="8"/>
        <v>1.0254100725510453</v>
      </c>
      <c r="S37" s="415">
        <f t="shared" si="9"/>
        <v>1330</v>
      </c>
      <c r="T37" s="415">
        <f t="shared" si="10"/>
        <v>373</v>
      </c>
      <c r="U37" s="423"/>
      <c r="V37" s="327"/>
      <c r="W37" s="328"/>
      <c r="X37" s="424">
        <v>550</v>
      </c>
      <c r="Y37" s="418">
        <f t="shared" si="11"/>
        <v>550</v>
      </c>
    </row>
    <row r="38" spans="1:25" ht="17.25">
      <c r="A38" s="26" t="s">
        <v>107</v>
      </c>
      <c r="B38" s="17">
        <f>VLOOKUP(A38,총수신고!$C$6:$I$45,2,FALSE)</f>
        <v>120659</v>
      </c>
      <c r="C38" s="17">
        <f>VLOOKUP(A38,총수신고!$C$6:$I$45,4,FALSE)</f>
        <v>127345.27978700001</v>
      </c>
      <c r="D38" s="18">
        <f t="shared" si="0"/>
        <v>105.54146792779653</v>
      </c>
      <c r="E38" s="330">
        <f t="shared" si="4"/>
        <v>0.13702105761393552</v>
      </c>
      <c r="F38" s="19">
        <f>VLOOKUP(A38,총수신고!$M$6:$U$45,2,FALSE)</f>
        <v>26497</v>
      </c>
      <c r="G38" s="19">
        <f>VLOOKUP(A38,총수신고!$M$6:$U$45,4,FALSE)</f>
        <v>27739.406860999999</v>
      </c>
      <c r="H38" s="18">
        <f t="shared" si="1"/>
        <v>104.68885859153868</v>
      </c>
      <c r="I38" s="316">
        <f t="shared" si="5"/>
        <v>0.55150496816037486</v>
      </c>
      <c r="J38" s="19">
        <f>VLOOKUP(A38,체크카드!$A$5:$D$44,2,FALSE)</f>
        <v>101103</v>
      </c>
      <c r="K38" s="19">
        <f>VLOOKUP(A38,체크카드!$A$5:$D$44,3,FALSE)</f>
        <v>91075.697</v>
      </c>
      <c r="L38" s="18">
        <f t="shared" si="2"/>
        <v>90.082091530419476</v>
      </c>
      <c r="M38" s="316">
        <f t="shared" si="6"/>
        <v>0.39978410686976273</v>
      </c>
      <c r="N38" s="19">
        <f>VLOOKUP(A38,스마트금융!$A$5:$D$45,2,FALSE)</f>
        <v>3526</v>
      </c>
      <c r="O38" s="19">
        <f>VLOOKUP(A38,스마트금융!$A$5:$D$45,3,FALSE)</f>
        <v>3565</v>
      </c>
      <c r="P38" s="18">
        <f t="shared" si="3"/>
        <v>101.10606920022688</v>
      </c>
      <c r="Q38" s="316">
        <f t="shared" si="7"/>
        <v>0.25266898401038623</v>
      </c>
      <c r="R38" s="413">
        <f t="shared" si="8"/>
        <v>1.3409791166544593</v>
      </c>
      <c r="S38" s="415">
        <f t="shared" si="9"/>
        <v>1739</v>
      </c>
      <c r="T38" s="415">
        <f t="shared" si="10"/>
        <v>488</v>
      </c>
      <c r="U38" s="423"/>
      <c r="V38" s="327"/>
      <c r="W38" s="328"/>
      <c r="X38" s="424">
        <v>550</v>
      </c>
      <c r="Y38" s="418">
        <f t="shared" si="11"/>
        <v>550</v>
      </c>
    </row>
    <row r="39" spans="1:25" ht="17.25">
      <c r="A39" s="26" t="s">
        <v>108</v>
      </c>
      <c r="B39" s="17">
        <f>VLOOKUP(A39,총수신고!$C$6:$I$45,2,FALSE)</f>
        <v>94709</v>
      </c>
      <c r="C39" s="17">
        <f>VLOOKUP(A39,총수신고!$C$6:$I$45,4,FALSE)</f>
        <v>96918.424627999993</v>
      </c>
      <c r="D39" s="18">
        <f t="shared" si="0"/>
        <v>102.33285604113654</v>
      </c>
      <c r="E39" s="330">
        <f t="shared" si="4"/>
        <v>0.1059359926074106</v>
      </c>
      <c r="F39" s="19">
        <f>VLOOKUP(A39,총수신고!$M$6:$U$45,2,FALSE)</f>
        <v>21185</v>
      </c>
      <c r="G39" s="19">
        <f>VLOOKUP(A39,총수신고!$M$6:$U$45,4,FALSE)</f>
        <v>21922.311899</v>
      </c>
      <c r="H39" s="18">
        <f t="shared" si="1"/>
        <v>103.48034882700023</v>
      </c>
      <c r="I39" s="316">
        <f t="shared" si="5"/>
        <v>0.43836770296436928</v>
      </c>
      <c r="J39" s="19">
        <f>VLOOKUP(A39,체크카드!$A$5:$D$44,2,FALSE)</f>
        <v>89892</v>
      </c>
      <c r="K39" s="19">
        <f>VLOOKUP(A39,체크카드!$A$5:$D$44,3,FALSE)</f>
        <v>69329.548999999999</v>
      </c>
      <c r="L39" s="18">
        <f t="shared" si="2"/>
        <v>77.125382681439945</v>
      </c>
      <c r="M39" s="316">
        <f t="shared" si="6"/>
        <v>0.32927175634875888</v>
      </c>
      <c r="N39" s="19">
        <f>VLOOKUP(A39,스마트금융!$A$5:$D$45,2,FALSE)</f>
        <v>3096</v>
      </c>
      <c r="O39" s="19">
        <f>VLOOKUP(A39,스마트금융!$A$5:$D$45,3,FALSE)</f>
        <v>3148</v>
      </c>
      <c r="P39" s="18">
        <f t="shared" si="3"/>
        <v>101.6795865633075</v>
      </c>
      <c r="Q39" s="316">
        <f t="shared" si="7"/>
        <v>0.22248345439154341</v>
      </c>
      <c r="R39" s="413">
        <f t="shared" si="8"/>
        <v>1.0960589063120822</v>
      </c>
      <c r="S39" s="415">
        <f t="shared" si="9"/>
        <v>1421</v>
      </c>
      <c r="T39" s="415">
        <f t="shared" si="10"/>
        <v>399</v>
      </c>
      <c r="U39" s="423"/>
      <c r="V39" s="327"/>
      <c r="W39" s="328"/>
      <c r="X39" s="424">
        <v>550</v>
      </c>
      <c r="Y39" s="418">
        <f t="shared" si="11"/>
        <v>550</v>
      </c>
    </row>
    <row r="40" spans="1:25" ht="17.25">
      <c r="A40" s="26" t="s">
        <v>109</v>
      </c>
      <c r="B40" s="17">
        <f>VLOOKUP(A40,총수신고!$C$6:$I$45,2,FALSE)</f>
        <v>72426</v>
      </c>
      <c r="C40" s="17">
        <f>VLOOKUP(A40,총수신고!$C$6:$I$45,4,FALSE)</f>
        <v>81576.918160999994</v>
      </c>
      <c r="D40" s="18">
        <f t="shared" si="0"/>
        <v>112.63485234722337</v>
      </c>
      <c r="E40" s="330">
        <f t="shared" si="4"/>
        <v>8.4979546188303973E-2</v>
      </c>
      <c r="F40" s="19">
        <f>VLOOKUP(A40,총수신고!$M$6:$U$45,2,FALSE)</f>
        <v>20863</v>
      </c>
      <c r="G40" s="19">
        <f>VLOOKUP(A40,총수신고!$M$6:$U$45,4,FALSE)</f>
        <v>21076.52131</v>
      </c>
      <c r="H40" s="18">
        <f t="shared" si="1"/>
        <v>101.02344490245889</v>
      </c>
      <c r="I40" s="316">
        <f t="shared" si="5"/>
        <v>0.42655131666952928</v>
      </c>
      <c r="J40" s="19">
        <f>VLOOKUP(A40,체크카드!$A$5:$D$44,2,FALSE)</f>
        <v>107227</v>
      </c>
      <c r="K40" s="19">
        <f>VLOOKUP(A40,체크카드!$A$5:$D$44,3,FALSE)</f>
        <v>88032.418999999994</v>
      </c>
      <c r="L40" s="18">
        <f t="shared" si="2"/>
        <v>82.099115894317649</v>
      </c>
      <c r="M40" s="316">
        <f t="shared" si="6"/>
        <v>0.4047578788901936</v>
      </c>
      <c r="N40" s="19">
        <f>VLOOKUP(A40,스마트금융!$A$5:$D$45,2,FALSE)</f>
        <v>3148</v>
      </c>
      <c r="O40" s="19">
        <f>VLOOKUP(A40,스마트금융!$A$5:$D$45,3,FALSE)</f>
        <v>3175</v>
      </c>
      <c r="P40" s="18">
        <f t="shared" si="3"/>
        <v>100.8576874205845</v>
      </c>
      <c r="Q40" s="316">
        <f t="shared" si="7"/>
        <v>0.22530551139779464</v>
      </c>
      <c r="R40" s="413">
        <f t="shared" si="8"/>
        <v>1.1415942531458214</v>
      </c>
      <c r="S40" s="415">
        <f t="shared" si="9"/>
        <v>1480</v>
      </c>
      <c r="T40" s="415">
        <f t="shared" si="10"/>
        <v>415</v>
      </c>
      <c r="U40" s="423"/>
      <c r="V40" s="327">
        <v>700</v>
      </c>
      <c r="W40" s="328"/>
      <c r="X40" s="424"/>
      <c r="Y40" s="418">
        <f t="shared" si="11"/>
        <v>700</v>
      </c>
    </row>
    <row r="41" spans="1:25" ht="17.25">
      <c r="A41" s="26" t="s">
        <v>110</v>
      </c>
      <c r="B41" s="17">
        <f>VLOOKUP(A41,총수신고!$C$6:$I$45,2,FALSE)</f>
        <v>64326</v>
      </c>
      <c r="C41" s="17">
        <f>VLOOKUP(A41,총수신고!$C$6:$I$45,4,FALSE)</f>
        <v>68237.133814000001</v>
      </c>
      <c r="D41" s="18">
        <f t="shared" si="0"/>
        <v>106.08017568945682</v>
      </c>
      <c r="E41" s="330">
        <f t="shared" si="4"/>
        <v>7.3233265803267208E-2</v>
      </c>
      <c r="F41" s="19">
        <f>VLOOKUP(A41,총수신고!$M$6:$U$45,2,FALSE)</f>
        <v>18598</v>
      </c>
      <c r="G41" s="19">
        <f>VLOOKUP(A41,총수신고!$M$6:$U$45,4,FALSE)</f>
        <v>19006.836189000001</v>
      </c>
      <c r="H41" s="18">
        <f t="shared" si="1"/>
        <v>102.1982804011184</v>
      </c>
      <c r="I41" s="316">
        <f t="shared" si="5"/>
        <v>0.38243932799557856</v>
      </c>
      <c r="J41" s="19">
        <f>VLOOKUP(A41,체크카드!$A$5:$D$44,2,FALSE)</f>
        <v>67040</v>
      </c>
      <c r="K41" s="19">
        <f>VLOOKUP(A41,체크카드!$A$5:$D$44,3,FALSE)</f>
        <v>60915.326000000001</v>
      </c>
      <c r="L41" s="18">
        <f t="shared" si="2"/>
        <v>90.86414976133652</v>
      </c>
      <c r="M41" s="316">
        <f t="shared" si="6"/>
        <v>0.26626986965913535</v>
      </c>
      <c r="N41" s="19">
        <f>VLOOKUP(A41,스마트금융!$A$5:$D$45,2,FALSE)</f>
        <v>1815</v>
      </c>
      <c r="O41" s="19">
        <f>VLOOKUP(A41,스마트금융!$A$5:$D$45,3,FALSE)</f>
        <v>1873</v>
      </c>
      <c r="P41" s="18">
        <f t="shared" si="3"/>
        <v>103.19559228650137</v>
      </c>
      <c r="Q41" s="316">
        <f t="shared" si="7"/>
        <v>0.13140157107276348</v>
      </c>
      <c r="R41" s="413">
        <f t="shared" si="8"/>
        <v>0.8533440345307447</v>
      </c>
      <c r="S41" s="415">
        <f t="shared" si="9"/>
        <v>1106</v>
      </c>
      <c r="T41" s="415">
        <f t="shared" si="10"/>
        <v>310</v>
      </c>
      <c r="U41" s="423"/>
      <c r="V41" s="327"/>
      <c r="W41" s="328"/>
      <c r="X41" s="424">
        <v>550</v>
      </c>
      <c r="Y41" s="418">
        <f t="shared" si="11"/>
        <v>550</v>
      </c>
    </row>
    <row r="42" spans="1:25" ht="17.25">
      <c r="A42" s="26" t="s">
        <v>111</v>
      </c>
      <c r="B42" s="17">
        <f>VLOOKUP(A42,총수신고!$C$6:$I$45,2,FALSE)</f>
        <v>33147</v>
      </c>
      <c r="C42" s="17">
        <f>VLOOKUP(A42,총수신고!$C$6:$I$45,4,FALSE)</f>
        <v>36264.0933</v>
      </c>
      <c r="D42" s="18">
        <f t="shared" si="0"/>
        <v>109.40384740700514</v>
      </c>
      <c r="E42" s="330">
        <f t="shared" si="4"/>
        <v>3.832278444099501E-2</v>
      </c>
      <c r="F42" s="19">
        <f>VLOOKUP(A42,총수신고!$M$6:$U$45,2,FALSE)</f>
        <v>7812</v>
      </c>
      <c r="G42" s="19">
        <f>VLOOKUP(A42,총수신고!$M$6:$U$45,4,FALSE)</f>
        <v>7433.8155489999999</v>
      </c>
      <c r="H42" s="18">
        <f t="shared" si="1"/>
        <v>95.158929198668716</v>
      </c>
      <c r="I42" s="316">
        <f t="shared" si="5"/>
        <v>0.15511303250804948</v>
      </c>
      <c r="J42" s="19">
        <f>VLOOKUP(A42,체크카드!$A$5:$D$44,2,FALSE)</f>
        <v>36364</v>
      </c>
      <c r="K42" s="19">
        <f>VLOOKUP(A42,체크카드!$A$5:$D$44,3,FALSE)</f>
        <v>34004.855000000003</v>
      </c>
      <c r="L42" s="18">
        <f t="shared" si="2"/>
        <v>93.512416125838755</v>
      </c>
      <c r="M42" s="316">
        <f t="shared" si="6"/>
        <v>0.14659552449622348</v>
      </c>
      <c r="N42" s="19">
        <f>VLOOKUP(A42,스마트금융!$A$5:$D$45,2,FALSE)</f>
        <v>1064</v>
      </c>
      <c r="O42" s="19">
        <f>VLOOKUP(A42,스마트금융!$A$5:$D$45,3,FALSE)</f>
        <v>1058</v>
      </c>
      <c r="P42" s="18">
        <f t="shared" si="3"/>
        <v>99.436090225563916</v>
      </c>
      <c r="Q42" s="316">
        <f t="shared" si="7"/>
        <v>7.561677756460207E-2</v>
      </c>
      <c r="R42" s="413">
        <f t="shared" si="8"/>
        <v>0.41564811900987003</v>
      </c>
      <c r="S42" s="415">
        <f t="shared" si="9"/>
        <v>539</v>
      </c>
      <c r="T42" s="415">
        <f t="shared" si="10"/>
        <v>151</v>
      </c>
      <c r="U42" s="423"/>
      <c r="V42" s="327">
        <v>700</v>
      </c>
      <c r="W42" s="328"/>
      <c r="X42" s="424"/>
      <c r="Y42" s="418">
        <f t="shared" si="11"/>
        <v>700</v>
      </c>
    </row>
    <row r="43" spans="1:25" ht="17.25">
      <c r="A43" s="26" t="s">
        <v>112</v>
      </c>
      <c r="B43" s="17">
        <f>VLOOKUP(A43,총수신고!$C$6:$I$45,2,FALSE)</f>
        <v>102733</v>
      </c>
      <c r="C43" s="17">
        <f>VLOOKUP(A43,총수신고!$C$6:$I$45,4,FALSE)</f>
        <v>110664.40233300001</v>
      </c>
      <c r="D43" s="18">
        <f>(C43/B43)*100</f>
        <v>107.72040369988223</v>
      </c>
      <c r="E43" s="330">
        <f t="shared" si="4"/>
        <v>0.11785464309864545</v>
      </c>
      <c r="F43" s="19">
        <f>VLOOKUP(A43,총수신고!$M$6:$U$45,2,FALSE)</f>
        <v>21628</v>
      </c>
      <c r="G43" s="19">
        <f>VLOOKUP(A43,총수신고!$M$6:$U$45,4,FALSE)</f>
        <v>22470.306073</v>
      </c>
      <c r="H43" s="18">
        <f t="shared" si="1"/>
        <v>103.89451670519696</v>
      </c>
      <c r="I43" s="316">
        <f t="shared" si="5"/>
        <v>0.44843500632720668</v>
      </c>
      <c r="J43" s="19">
        <f>VLOOKUP(A43,체크카드!$A$5:$D$44,2,FALSE)</f>
        <v>103189</v>
      </c>
      <c r="K43" s="19">
        <f>VLOOKUP(A43,체크카드!$A$5:$D$44,3,FALSE)</f>
        <v>86049.725000000006</v>
      </c>
      <c r="L43" s="18">
        <f t="shared" si="2"/>
        <v>83.390404985027473</v>
      </c>
      <c r="M43" s="316">
        <f t="shared" si="6"/>
        <v>0.39251060496422258</v>
      </c>
      <c r="N43" s="19">
        <f>VLOOKUP(A43,스마트금융!$A$5:$D$45,2,FALSE)</f>
        <v>3723</v>
      </c>
      <c r="O43" s="19">
        <f>VLOOKUP(A43,스마트금융!$A$5:$D$45,3,FALSE)</f>
        <v>3772</v>
      </c>
      <c r="P43" s="18">
        <f t="shared" si="3"/>
        <v>101.31614289551436</v>
      </c>
      <c r="Q43" s="316">
        <f t="shared" si="7"/>
        <v>0.26706228117682551</v>
      </c>
      <c r="R43" s="413">
        <f t="shared" si="8"/>
        <v>1.2258625355669002</v>
      </c>
      <c r="S43" s="415">
        <f t="shared" si="9"/>
        <v>1589</v>
      </c>
      <c r="T43" s="415">
        <f t="shared" si="10"/>
        <v>446</v>
      </c>
      <c r="U43" s="423"/>
      <c r="V43" s="327"/>
      <c r="W43" s="328"/>
      <c r="X43" s="424">
        <v>550</v>
      </c>
      <c r="Y43" s="418">
        <f t="shared" si="11"/>
        <v>550</v>
      </c>
    </row>
    <row r="44" spans="1:25" ht="17.25">
      <c r="A44" s="26" t="s">
        <v>113</v>
      </c>
      <c r="B44" s="17">
        <f>VLOOKUP(A44,총수신고!$C$6:$I$45,2,FALSE)</f>
        <v>98016</v>
      </c>
      <c r="C44" s="17">
        <f>VLOOKUP(A44,총수신고!$C$6:$I$45,4,FALSE)</f>
        <v>101529.50420900001</v>
      </c>
      <c r="D44" s="18">
        <f t="shared" ref="D44" si="12">(C44/B44)*100</f>
        <v>103.58462313193766</v>
      </c>
      <c r="E44" s="330">
        <f t="shared" si="4"/>
        <v>0.11028750861690384</v>
      </c>
      <c r="F44" s="19">
        <f>VLOOKUP(A44,총수신고!$M$6:$U$45,2,FALSE)</f>
        <v>20444</v>
      </c>
      <c r="G44" s="19">
        <f>VLOOKUP(A44,총수신고!$M$6:$U$45,4,FALSE)</f>
        <v>20602.014917</v>
      </c>
      <c r="H44" s="18">
        <f t="shared" ref="H44" si="13">(G44/F44)*100</f>
        <v>100.77291585306203</v>
      </c>
      <c r="I44" s="316">
        <f t="shared" si="5"/>
        <v>0.41746977532080898</v>
      </c>
      <c r="J44" s="19">
        <f>VLOOKUP(A44,체크카드!$A$5:$D$44,2,FALSE)</f>
        <v>75365</v>
      </c>
      <c r="K44" s="19">
        <f>VLOOKUP(A44,체크카드!$A$5:$D$44,3,FALSE)</f>
        <v>61277.597000000002</v>
      </c>
      <c r="L44" s="18">
        <f t="shared" ref="L44" si="14">(K44/J44)*100</f>
        <v>81.307764877595702</v>
      </c>
      <c r="M44" s="316">
        <f t="shared" si="6"/>
        <v>0.28314531597784731</v>
      </c>
      <c r="N44" s="19">
        <f>VLOOKUP(A44,스마트금융!$A$5:$D$45,2,FALSE)</f>
        <v>2681</v>
      </c>
      <c r="O44" s="19">
        <f>VLOOKUP(A44,스마트금융!$A$5:$D$45,3,FALSE)</f>
        <v>2728</v>
      </c>
      <c r="P44" s="18">
        <f t="shared" ref="P44" si="15">(O44/N44)*100</f>
        <v>101.75307720999626</v>
      </c>
      <c r="Q44" s="316">
        <f t="shared" si="7"/>
        <v>0.19273055709312892</v>
      </c>
      <c r="R44" s="413">
        <f t="shared" si="8"/>
        <v>1.0036331570086889</v>
      </c>
      <c r="S44" s="415">
        <f t="shared" si="9"/>
        <v>1301</v>
      </c>
      <c r="T44" s="415">
        <f t="shared" si="10"/>
        <v>365</v>
      </c>
      <c r="U44" s="423"/>
      <c r="V44" s="327"/>
      <c r="W44" s="328"/>
      <c r="X44" s="424">
        <v>550</v>
      </c>
      <c r="Y44" s="418">
        <f t="shared" si="11"/>
        <v>550</v>
      </c>
    </row>
    <row r="45" spans="1:25" ht="17.25">
      <c r="A45" s="26" t="s">
        <v>90</v>
      </c>
      <c r="B45" s="442" t="s">
        <v>255</v>
      </c>
      <c r="C45" s="443"/>
      <c r="D45" s="443"/>
      <c r="E45" s="443"/>
      <c r="F45" s="443"/>
      <c r="G45" s="443"/>
      <c r="H45" s="443"/>
      <c r="I45" s="443"/>
      <c r="J45" s="443"/>
      <c r="K45" s="443"/>
      <c r="L45" s="443"/>
      <c r="M45" s="443"/>
      <c r="N45" s="443"/>
      <c r="O45" s="443"/>
      <c r="P45" s="443"/>
      <c r="Q45" s="443"/>
      <c r="R45" s="443"/>
      <c r="S45" s="415"/>
      <c r="T45" s="415"/>
      <c r="U45" s="423"/>
      <c r="V45" s="327"/>
      <c r="W45" s="328"/>
      <c r="X45" s="424">
        <v>720</v>
      </c>
      <c r="Y45" s="418">
        <f t="shared" si="11"/>
        <v>720</v>
      </c>
    </row>
    <row r="46" spans="1:25" ht="17.25" thickBot="1">
      <c r="A46" s="362" t="s">
        <v>234</v>
      </c>
      <c r="B46" s="363">
        <f>SUM(B5:B44)</f>
        <v>8705900</v>
      </c>
      <c r="C46" s="363">
        <f>SUM(C5:C44)</f>
        <v>9401811.5384639986</v>
      </c>
      <c r="D46" s="364">
        <f t="shared" si="0"/>
        <v>107.99356227918994</v>
      </c>
      <c r="E46" s="363">
        <f>SUM(E5:E44)</f>
        <v>10.000000000000002</v>
      </c>
      <c r="F46" s="363">
        <f t="shared" ref="F46:O46" si="16">SUM(F5:F44)</f>
        <v>1943900</v>
      </c>
      <c r="G46" s="363">
        <f t="shared" si="16"/>
        <v>1989286.0571570001</v>
      </c>
      <c r="H46" s="364">
        <f t="shared" si="1"/>
        <v>102.33479382463091</v>
      </c>
      <c r="I46" s="363">
        <f>SUM(I5:I44)</f>
        <v>40.000000000000007</v>
      </c>
      <c r="J46" s="363">
        <f t="shared" si="16"/>
        <v>7775000</v>
      </c>
      <c r="K46" s="363">
        <f t="shared" si="16"/>
        <v>6672861.1860000007</v>
      </c>
      <c r="L46" s="364">
        <f t="shared" si="2"/>
        <v>85.824581170418014</v>
      </c>
      <c r="M46" s="363">
        <f>SUM(M5:M44)</f>
        <v>30</v>
      </c>
      <c r="N46" s="363">
        <f t="shared" si="16"/>
        <v>278450</v>
      </c>
      <c r="O46" s="363">
        <f t="shared" si="16"/>
        <v>282848</v>
      </c>
      <c r="P46" s="364">
        <f t="shared" si="3"/>
        <v>101.57945771233614</v>
      </c>
      <c r="Q46" s="363">
        <f>SUM(Q5:Q44)</f>
        <v>20</v>
      </c>
      <c r="R46" s="365">
        <f>SUM(R5:R44)</f>
        <v>100</v>
      </c>
      <c r="S46" s="417">
        <f>SUM(S5:S45)</f>
        <v>129656</v>
      </c>
      <c r="T46" s="417">
        <f>SUM(T5:T44)</f>
        <v>36373</v>
      </c>
      <c r="U46" s="427">
        <f t="shared" ref="U46:W46" si="17">SUM(U5:U44)</f>
        <v>9000</v>
      </c>
      <c r="V46" s="365">
        <f>SUM(V5:V44)</f>
        <v>7800</v>
      </c>
      <c r="W46" s="365">
        <f t="shared" si="17"/>
        <v>1000</v>
      </c>
      <c r="X46" s="428">
        <f>SUM(X5:X45)</f>
        <v>17700</v>
      </c>
      <c r="Y46" s="420">
        <f t="shared" si="11"/>
        <v>26500</v>
      </c>
    </row>
    <row r="47" spans="1:25">
      <c r="J47" s="3"/>
      <c r="K47" s="3"/>
    </row>
    <row r="48" spans="1:25">
      <c r="J48" s="3"/>
      <c r="K48" s="3"/>
      <c r="S48" s="14"/>
    </row>
  </sheetData>
  <mergeCells count="13">
    <mergeCell ref="Y3:Y4"/>
    <mergeCell ref="B45:R45"/>
    <mergeCell ref="A1:T1"/>
    <mergeCell ref="B3:E3"/>
    <mergeCell ref="A3:A4"/>
    <mergeCell ref="J3:M3"/>
    <mergeCell ref="N3:Q3"/>
    <mergeCell ref="R3:R4"/>
    <mergeCell ref="S3:S4"/>
    <mergeCell ref="T3:T4"/>
    <mergeCell ref="F3:I3"/>
    <mergeCell ref="X2:Y2"/>
    <mergeCell ref="U3:V3"/>
  </mergeCells>
  <phoneticPr fontId="2" type="noConversion"/>
  <pageMargins left="0.70866141732283472" right="0.70866141732283472" top="0.27559055118110237" bottom="0.19685039370078741" header="0.23622047244094491" footer="0.15748031496062992"/>
  <pageSetup paperSize="9" scale="65" orientation="landscape" verticalDpi="0" r:id="rId1"/>
  <colBreaks count="1" manualBreakCount="1">
    <brk id="17" max="1048575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97"/>
  <sheetViews>
    <sheetView workbookViewId="0">
      <selection activeCell="A48" sqref="A48:XFD96"/>
    </sheetView>
  </sheetViews>
  <sheetFormatPr defaultColWidth="9" defaultRowHeight="16.5"/>
  <cols>
    <col min="1" max="1" width="10.75" style="44" customWidth="1"/>
    <col min="2" max="2" width="0.875" style="44" customWidth="1"/>
    <col min="3" max="3" width="7.25" style="44" customWidth="1"/>
    <col min="4" max="4" width="9.375" style="44" customWidth="1"/>
    <col min="5" max="5" width="10" style="44" customWidth="1"/>
    <col min="6" max="6" width="9.125" style="44" customWidth="1"/>
    <col min="7" max="7" width="7.125" style="44" hidden="1" customWidth="1"/>
    <col min="8" max="8" width="9" style="44" hidden="1" customWidth="1"/>
    <col min="9" max="9" width="7.375" style="44" customWidth="1"/>
    <col min="10" max="10" width="7.75" style="44" customWidth="1"/>
    <col min="11" max="11" width="9.25" style="44" customWidth="1"/>
    <col min="12" max="12" width="1.25" style="44" customWidth="1"/>
    <col min="13" max="13" width="8.125" style="44" customWidth="1"/>
    <col min="14" max="14" width="10.125" style="44" customWidth="1"/>
    <col min="15" max="15" width="9.5" style="44" hidden="1" customWidth="1"/>
    <col min="16" max="16" width="9.625" style="44" customWidth="1"/>
    <col min="17" max="17" width="9" style="44" hidden="1" customWidth="1"/>
    <col min="18" max="18" width="7.25" style="44" hidden="1" customWidth="1"/>
    <col min="19" max="19" width="8.25" style="44" hidden="1" customWidth="1"/>
    <col min="20" max="20" width="7.5" style="44" customWidth="1"/>
    <col min="21" max="21" width="7.75" style="44" customWidth="1"/>
    <col min="22" max="24" width="9" style="44" hidden="1" customWidth="1"/>
    <col min="25" max="25" width="9.5" style="44" customWidth="1"/>
    <col min="26" max="26" width="9.25" style="44" customWidth="1"/>
    <col min="27" max="27" width="8.625" style="44" customWidth="1"/>
    <col min="28" max="28" width="9" style="44" hidden="1" customWidth="1"/>
    <col min="29" max="29" width="8.125" style="44" hidden="1" customWidth="1"/>
    <col min="30" max="30" width="15.75" style="44" hidden="1" customWidth="1"/>
    <col min="31" max="32" width="16.125" style="44" hidden="1" customWidth="1"/>
    <col min="33" max="33" width="11.5" style="44" hidden="1" customWidth="1"/>
    <col min="34" max="34" width="19.625" style="44" hidden="1" customWidth="1"/>
    <col min="35" max="37" width="16.125" style="44" hidden="1" customWidth="1"/>
    <col min="38" max="38" width="10.875" style="44" hidden="1" customWidth="1"/>
    <col min="39" max="39" width="16.875" style="44" hidden="1" customWidth="1"/>
    <col min="40" max="41" width="18" style="44" hidden="1" customWidth="1"/>
    <col min="42" max="42" width="9" style="44" hidden="1" customWidth="1"/>
    <col min="43" max="43" width="11.125" style="44" hidden="1" customWidth="1"/>
    <col min="44" max="44" width="14.5" style="44" hidden="1" customWidth="1"/>
    <col min="45" max="51" width="9" style="44" customWidth="1"/>
    <col min="52" max="16384" width="9" style="44"/>
  </cols>
  <sheetData>
    <row r="1" spans="1:43" ht="16.5" customHeight="1">
      <c r="A1" s="483" t="s">
        <v>127</v>
      </c>
      <c r="B1" s="483"/>
      <c r="C1" s="483"/>
      <c r="D1" s="483"/>
      <c r="E1" s="483"/>
      <c r="F1" s="483"/>
      <c r="G1" s="483"/>
      <c r="H1" s="483"/>
      <c r="I1" s="483"/>
      <c r="J1" s="483"/>
      <c r="K1" s="483"/>
      <c r="L1" s="483"/>
      <c r="M1" s="483"/>
      <c r="N1" s="483"/>
      <c r="O1" s="483"/>
      <c r="P1" s="483"/>
      <c r="Q1" s="483"/>
      <c r="R1" s="483"/>
      <c r="S1" s="483"/>
      <c r="T1" s="483"/>
      <c r="U1" s="483"/>
      <c r="V1" s="483"/>
      <c r="W1" s="483"/>
      <c r="X1" s="483"/>
      <c r="Y1" s="483"/>
      <c r="Z1" s="483"/>
    </row>
    <row r="2" spans="1:43" ht="16.5" customHeight="1">
      <c r="A2" s="483"/>
      <c r="B2" s="483"/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  <c r="T2" s="483"/>
      <c r="U2" s="483"/>
      <c r="V2" s="483"/>
      <c r="W2" s="483"/>
      <c r="X2" s="483"/>
      <c r="Y2" s="483"/>
      <c r="Z2" s="483"/>
    </row>
    <row r="3" spans="1:43" ht="17.25" thickBot="1">
      <c r="A3" s="45">
        <f>[1]종합점수!A2</f>
        <v>42338</v>
      </c>
      <c r="C3" s="45"/>
      <c r="V3" s="484" t="s">
        <v>128</v>
      </c>
      <c r="W3" s="484"/>
      <c r="X3" s="484"/>
      <c r="Y3" s="484"/>
      <c r="Z3" s="484"/>
    </row>
    <row r="4" spans="1:43">
      <c r="A4" s="485" t="s">
        <v>129</v>
      </c>
      <c r="B4" s="46"/>
      <c r="C4" s="487" t="s">
        <v>64</v>
      </c>
      <c r="D4" s="489" t="s">
        <v>46</v>
      </c>
      <c r="E4" s="489"/>
      <c r="F4" s="489"/>
      <c r="G4" s="489"/>
      <c r="H4" s="489"/>
      <c r="I4" s="489"/>
      <c r="J4" s="489"/>
      <c r="K4" s="490"/>
      <c r="L4" s="491"/>
      <c r="M4" s="493" t="s">
        <v>130</v>
      </c>
      <c r="N4" s="495" t="s">
        <v>47</v>
      </c>
      <c r="O4" s="496"/>
      <c r="P4" s="496"/>
      <c r="Q4" s="496"/>
      <c r="R4" s="496"/>
      <c r="S4" s="496"/>
      <c r="T4" s="496"/>
      <c r="U4" s="496"/>
      <c r="V4" s="496"/>
      <c r="W4" s="496"/>
      <c r="X4" s="496"/>
      <c r="Y4" s="496"/>
      <c r="Z4" s="497"/>
      <c r="AC4" s="44" t="s">
        <v>50</v>
      </c>
    </row>
    <row r="5" spans="1:43" ht="17.25" thickBot="1">
      <c r="A5" s="486"/>
      <c r="B5" s="47"/>
      <c r="C5" s="488"/>
      <c r="D5" s="48" t="s">
        <v>1</v>
      </c>
      <c r="E5" s="48" t="s">
        <v>48</v>
      </c>
      <c r="F5" s="48" t="s">
        <v>52</v>
      </c>
      <c r="G5" s="48" t="s">
        <v>49</v>
      </c>
      <c r="H5" s="48" t="s">
        <v>50</v>
      </c>
      <c r="I5" s="48" t="s">
        <v>3</v>
      </c>
      <c r="J5" s="49" t="s">
        <v>55</v>
      </c>
      <c r="K5" s="50" t="s">
        <v>51</v>
      </c>
      <c r="L5" s="492"/>
      <c r="M5" s="494"/>
      <c r="N5" s="51" t="s">
        <v>1</v>
      </c>
      <c r="O5" s="51" t="s">
        <v>48</v>
      </c>
      <c r="P5" s="51" t="s">
        <v>52</v>
      </c>
      <c r="Q5" s="51" t="s">
        <v>53</v>
      </c>
      <c r="R5" s="51" t="s">
        <v>49</v>
      </c>
      <c r="S5" s="51" t="s">
        <v>54</v>
      </c>
      <c r="T5" s="51" t="s">
        <v>50</v>
      </c>
      <c r="U5" s="51" t="s">
        <v>3</v>
      </c>
      <c r="V5" s="51" t="s">
        <v>131</v>
      </c>
      <c r="W5" s="51" t="s">
        <v>132</v>
      </c>
      <c r="X5" s="52" t="s">
        <v>133</v>
      </c>
      <c r="Y5" s="53" t="s">
        <v>55</v>
      </c>
      <c r="Z5" s="54" t="s">
        <v>51</v>
      </c>
      <c r="AC5" s="44">
        <v>1</v>
      </c>
      <c r="AD5" s="44">
        <v>2</v>
      </c>
      <c r="AE5" s="44">
        <v>3</v>
      </c>
      <c r="AF5" s="44">
        <v>4</v>
      </c>
      <c r="AG5" s="44">
        <v>5</v>
      </c>
      <c r="AH5" s="44">
        <v>6</v>
      </c>
      <c r="AI5" s="44">
        <v>7</v>
      </c>
      <c r="AJ5" s="44">
        <v>8</v>
      </c>
      <c r="AK5" s="44">
        <v>9</v>
      </c>
      <c r="AL5" s="44">
        <v>10</v>
      </c>
      <c r="AM5" s="44">
        <v>11</v>
      </c>
    </row>
    <row r="6" spans="1:43">
      <c r="A6" s="480" t="s">
        <v>134</v>
      </c>
      <c r="B6" s="55">
        <v>1</v>
      </c>
      <c r="C6" s="56" t="s">
        <v>17</v>
      </c>
      <c r="D6" s="57">
        <v>434890</v>
      </c>
      <c r="E6" s="57">
        <v>446263.32176000002</v>
      </c>
      <c r="F6" s="58">
        <f t="shared" ref="F6:F12" si="0">VLOOKUP(C6,$AC$8:$AO$49,11,FALSE)/1000000</f>
        <v>466136.82503399998</v>
      </c>
      <c r="G6" s="59">
        <f t="shared" ref="G6:G46" si="1">F6/E6%</f>
        <v>104.45331316847229</v>
      </c>
      <c r="H6" s="60"/>
      <c r="I6" s="61">
        <f t="shared" ref="I6:I46" si="2">F6/D6%</f>
        <v>107.18499506403919</v>
      </c>
      <c r="J6" s="62">
        <f t="shared" ref="J6:J45" si="3">IF(I6&gt;=100,4,I6*0.04)</f>
        <v>4</v>
      </c>
      <c r="K6" s="63">
        <f t="shared" ref="K6:K45" si="4">IF(I6&gt;=100,10,I6*0.1)</f>
        <v>10</v>
      </c>
      <c r="L6" s="64">
        <v>1</v>
      </c>
      <c r="M6" s="65" t="s">
        <v>14</v>
      </c>
      <c r="N6" s="66">
        <v>81033</v>
      </c>
      <c r="O6" s="57">
        <v>79414.290164000005</v>
      </c>
      <c r="P6" s="67">
        <f>VLOOKUP(M6,$AC$8:$AO$49,12,FALSE)/1000000</f>
        <v>91079.040372000003</v>
      </c>
      <c r="Q6" s="60"/>
      <c r="R6" s="59">
        <f t="shared" ref="R6:R46" si="5">P6/O6%</f>
        <v>114.68847758244881</v>
      </c>
      <c r="S6" s="60"/>
      <c r="T6" s="67">
        <f>(VLOOKUP(M6,$AC$8:$AO$49,13,FALSE)-VLOOKUP(M6,$AC$55:$AO$96,13,FALSE))/1000000</f>
        <v>-564.66753500000004</v>
      </c>
      <c r="U6" s="68">
        <f t="shared" ref="U6:U46" si="6">P6/N6%</f>
        <v>112.39746815741735</v>
      </c>
      <c r="V6" s="69">
        <f t="shared" ref="V6:V45" si="7">IF(U6&gt;=100,30,U6*0.3)</f>
        <v>30</v>
      </c>
      <c r="W6" s="70" t="str">
        <f t="shared" ref="W6:W45" si="8">IF(U6&gt;100,"0","")</f>
        <v>0</v>
      </c>
      <c r="X6" s="70">
        <f>COUNTIF(W6:W13,"0")*0.01</f>
        <v>7.0000000000000007E-2</v>
      </c>
      <c r="Y6" s="71">
        <f t="shared" ref="Y6:Y45" si="9">VLOOKUP(M6,$M$50:$T$89,8,FALSE)</f>
        <v>6.0594000000000001</v>
      </c>
      <c r="Z6" s="72">
        <f t="shared" ref="Z6:Z45" si="10">V6+X6</f>
        <v>30.07</v>
      </c>
      <c r="AC6" s="462"/>
      <c r="AD6" s="464" t="s">
        <v>56</v>
      </c>
      <c r="AE6" s="465"/>
      <c r="AF6" s="465"/>
      <c r="AG6" s="465"/>
      <c r="AH6" s="466"/>
      <c r="AI6" s="464" t="s">
        <v>57</v>
      </c>
      <c r="AJ6" s="465"/>
      <c r="AK6" s="465"/>
      <c r="AL6" s="465"/>
      <c r="AM6" s="466"/>
      <c r="AN6" s="44">
        <v>12</v>
      </c>
      <c r="AO6" s="44">
        <v>13</v>
      </c>
      <c r="AP6" s="44">
        <v>14</v>
      </c>
      <c r="AQ6" s="44">
        <v>15</v>
      </c>
    </row>
    <row r="7" spans="1:43">
      <c r="A7" s="481"/>
      <c r="B7" s="73">
        <v>1</v>
      </c>
      <c r="C7" s="74" t="s">
        <v>18</v>
      </c>
      <c r="D7" s="75">
        <v>311482</v>
      </c>
      <c r="E7" s="75">
        <v>323667.759311</v>
      </c>
      <c r="F7" s="76">
        <f t="shared" si="0"/>
        <v>333651.886558</v>
      </c>
      <c r="G7" s="77">
        <f t="shared" si="1"/>
        <v>103.0846838956878</v>
      </c>
      <c r="H7" s="78"/>
      <c r="I7" s="79">
        <f t="shared" si="2"/>
        <v>107.11754982888256</v>
      </c>
      <c r="J7" s="80">
        <f t="shared" si="3"/>
        <v>4</v>
      </c>
      <c r="K7" s="81">
        <f t="shared" si="4"/>
        <v>10</v>
      </c>
      <c r="L7" s="64">
        <v>1</v>
      </c>
      <c r="M7" s="82" t="s">
        <v>7</v>
      </c>
      <c r="N7" s="83">
        <v>119184</v>
      </c>
      <c r="O7" s="75">
        <v>124149.970734</v>
      </c>
      <c r="P7" s="84">
        <f>VLOOKUP(M7,$AC$33:$AQ$33,14,FALSE)/1000000</f>
        <v>125326.663958</v>
      </c>
      <c r="Q7" s="78"/>
      <c r="R7" s="77">
        <f t="shared" si="5"/>
        <v>100.94779984001862</v>
      </c>
      <c r="S7" s="78"/>
      <c r="T7" s="84">
        <f>(VLOOKUP(M7,$AC$33:$AQ$33,15,FALSE)-VLOOKUP(M7,$AC$80:$AQ$80,15,FALSE))/1000000</f>
        <v>-137.38379800000001</v>
      </c>
      <c r="U7" s="85">
        <f t="shared" si="6"/>
        <v>105.15393337864144</v>
      </c>
      <c r="V7" s="86">
        <f t="shared" si="7"/>
        <v>30</v>
      </c>
      <c r="W7" s="78" t="str">
        <f t="shared" si="8"/>
        <v>0</v>
      </c>
      <c r="X7" s="78">
        <f t="shared" ref="X7:X13" si="11">IF(X6-0.01&lt;0,"0",X6-0.01)</f>
        <v>6.0000000000000005E-2</v>
      </c>
      <c r="Y7" s="87">
        <f t="shared" si="9"/>
        <v>6.0461999999999998</v>
      </c>
      <c r="Z7" s="88">
        <f t="shared" si="10"/>
        <v>30.06</v>
      </c>
      <c r="AC7" s="463"/>
      <c r="AD7" s="89" t="s">
        <v>58</v>
      </c>
      <c r="AE7" s="89" t="s">
        <v>59</v>
      </c>
      <c r="AF7" s="89" t="s">
        <v>60</v>
      </c>
      <c r="AG7" s="89" t="s">
        <v>61</v>
      </c>
      <c r="AH7" s="90" t="s">
        <v>62</v>
      </c>
      <c r="AI7" s="89" t="s">
        <v>58</v>
      </c>
      <c r="AJ7" s="89" t="s">
        <v>59</v>
      </c>
      <c r="AK7" s="89" t="s">
        <v>60</v>
      </c>
      <c r="AL7" s="89" t="s">
        <v>61</v>
      </c>
      <c r="AM7" s="91" t="s">
        <v>62</v>
      </c>
      <c r="AN7" s="89" t="s">
        <v>135</v>
      </c>
      <c r="AO7" s="89" t="s">
        <v>136</v>
      </c>
    </row>
    <row r="8" spans="1:43">
      <c r="A8" s="481"/>
      <c r="B8" s="73">
        <v>1</v>
      </c>
      <c r="C8" s="74" t="s">
        <v>15</v>
      </c>
      <c r="D8" s="75">
        <v>354661</v>
      </c>
      <c r="E8" s="75">
        <v>363231.61752099998</v>
      </c>
      <c r="F8" s="76">
        <f t="shared" si="0"/>
        <v>379665.799581</v>
      </c>
      <c r="G8" s="77">
        <f t="shared" si="1"/>
        <v>104.52443599820984</v>
      </c>
      <c r="H8" s="78"/>
      <c r="I8" s="79">
        <f t="shared" si="2"/>
        <v>107.05033809214997</v>
      </c>
      <c r="J8" s="80">
        <f t="shared" si="3"/>
        <v>4</v>
      </c>
      <c r="K8" s="81">
        <f t="shared" si="4"/>
        <v>10</v>
      </c>
      <c r="L8" s="64">
        <v>1</v>
      </c>
      <c r="M8" s="82" t="s">
        <v>25</v>
      </c>
      <c r="N8" s="83">
        <v>85242</v>
      </c>
      <c r="O8" s="75">
        <v>77223.769058999998</v>
      </c>
      <c r="P8" s="84">
        <f t="shared" ref="P8:P45" si="12">VLOOKUP(M8,$AC$8:$AO$49,12,FALSE)/1000000</f>
        <v>89082.789755999998</v>
      </c>
      <c r="Q8" s="78"/>
      <c r="R8" s="77">
        <f t="shared" si="5"/>
        <v>115.35669760943622</v>
      </c>
      <c r="S8" s="78"/>
      <c r="T8" s="84">
        <f t="shared" ref="T8:T46" si="13">(VLOOKUP(M8,$AC$8:$AO$49,13,FALSE)-VLOOKUP(M8,$AC$55:$AO$96,13,FALSE))/1000000</f>
        <v>3570.8943060000001</v>
      </c>
      <c r="U8" s="85">
        <f t="shared" si="6"/>
        <v>104.50574805377632</v>
      </c>
      <c r="V8" s="86">
        <f t="shared" si="7"/>
        <v>30</v>
      </c>
      <c r="W8" s="78" t="str">
        <f t="shared" si="8"/>
        <v>0</v>
      </c>
      <c r="X8" s="78">
        <f t="shared" si="11"/>
        <v>0.05</v>
      </c>
      <c r="Y8" s="87">
        <f t="shared" si="9"/>
        <v>6.0429000000000004</v>
      </c>
      <c r="Z8" s="88">
        <f t="shared" si="10"/>
        <v>30.05</v>
      </c>
      <c r="AC8" s="92" t="s">
        <v>25</v>
      </c>
      <c r="AD8" s="4">
        <v>296684803402</v>
      </c>
      <c r="AE8" s="4">
        <v>98552355272</v>
      </c>
      <c r="AF8" s="4">
        <v>0</v>
      </c>
      <c r="AG8" s="4">
        <v>0</v>
      </c>
      <c r="AH8" s="5">
        <v>395237158674</v>
      </c>
      <c r="AI8" s="4">
        <v>299299712540</v>
      </c>
      <c r="AJ8" s="4">
        <v>89082789756</v>
      </c>
      <c r="AK8" s="4">
        <v>0</v>
      </c>
      <c r="AL8" s="4">
        <v>0</v>
      </c>
      <c r="AM8" s="6">
        <v>388382502296</v>
      </c>
      <c r="AN8" s="7">
        <f t="shared" ref="AN8:AN49" si="14">AJ8+AK8+AL8</f>
        <v>89082789756</v>
      </c>
      <c r="AO8" s="7">
        <f t="shared" ref="AO8:AO49" si="15">AE8+AF8+AG8</f>
        <v>98552355272</v>
      </c>
    </row>
    <row r="9" spans="1:43">
      <c r="A9" s="481"/>
      <c r="B9" s="73">
        <v>1</v>
      </c>
      <c r="C9" s="74" t="s">
        <v>25</v>
      </c>
      <c r="D9" s="75">
        <v>364169</v>
      </c>
      <c r="E9" s="75">
        <v>377371.73005200003</v>
      </c>
      <c r="F9" s="76">
        <f t="shared" si="0"/>
        <v>388382.50229600002</v>
      </c>
      <c r="G9" s="77">
        <f t="shared" si="1"/>
        <v>102.9177522763782</v>
      </c>
      <c r="H9" s="78"/>
      <c r="I9" s="79">
        <f t="shared" si="2"/>
        <v>106.64897404666515</v>
      </c>
      <c r="J9" s="80">
        <f t="shared" si="3"/>
        <v>4</v>
      </c>
      <c r="K9" s="81">
        <f t="shared" si="4"/>
        <v>10</v>
      </c>
      <c r="L9" s="64">
        <v>1</v>
      </c>
      <c r="M9" s="82" t="s">
        <v>17</v>
      </c>
      <c r="N9" s="83">
        <v>103016</v>
      </c>
      <c r="O9" s="75">
        <v>91128.541998000001</v>
      </c>
      <c r="P9" s="84">
        <f t="shared" si="12"/>
        <v>106884.890699</v>
      </c>
      <c r="Q9" s="78"/>
      <c r="R9" s="77">
        <f t="shared" si="5"/>
        <v>117.29024557568999</v>
      </c>
      <c r="S9" s="78"/>
      <c r="T9" s="84">
        <f t="shared" si="13"/>
        <v>156.62917100000001</v>
      </c>
      <c r="U9" s="85">
        <f t="shared" si="6"/>
        <v>103.75562116467344</v>
      </c>
      <c r="V9" s="86">
        <f t="shared" si="7"/>
        <v>30</v>
      </c>
      <c r="W9" s="78" t="str">
        <f t="shared" si="8"/>
        <v>0</v>
      </c>
      <c r="X9" s="78">
        <f t="shared" si="11"/>
        <v>0.04</v>
      </c>
      <c r="Y9" s="87">
        <f t="shared" si="9"/>
        <v>6.0396000000000001</v>
      </c>
      <c r="Z9" s="88">
        <f t="shared" si="10"/>
        <v>30.04</v>
      </c>
      <c r="AC9" s="93" t="s">
        <v>4</v>
      </c>
      <c r="AD9" s="4">
        <v>264408896351</v>
      </c>
      <c r="AE9" s="4">
        <v>78901635927</v>
      </c>
      <c r="AF9" s="4">
        <v>0</v>
      </c>
      <c r="AG9" s="4">
        <v>0</v>
      </c>
      <c r="AH9" s="5">
        <v>343310532278</v>
      </c>
      <c r="AI9" s="4">
        <v>264541255915</v>
      </c>
      <c r="AJ9" s="4">
        <v>69581868700</v>
      </c>
      <c r="AK9" s="4">
        <v>0</v>
      </c>
      <c r="AL9" s="4">
        <v>0</v>
      </c>
      <c r="AM9" s="6">
        <v>334123124615</v>
      </c>
      <c r="AN9" s="7">
        <f t="shared" si="14"/>
        <v>69581868700</v>
      </c>
      <c r="AO9" s="7">
        <f t="shared" si="15"/>
        <v>78901635927</v>
      </c>
    </row>
    <row r="10" spans="1:43">
      <c r="A10" s="481"/>
      <c r="B10" s="73">
        <v>1</v>
      </c>
      <c r="C10" s="74" t="s">
        <v>14</v>
      </c>
      <c r="D10" s="75">
        <v>440866</v>
      </c>
      <c r="E10" s="75">
        <v>460340.06964100001</v>
      </c>
      <c r="F10" s="76">
        <f t="shared" si="0"/>
        <v>467601.12043100002</v>
      </c>
      <c r="G10" s="77">
        <f t="shared" si="1"/>
        <v>101.5773232157832</v>
      </c>
      <c r="H10" s="78"/>
      <c r="I10" s="79">
        <f t="shared" si="2"/>
        <v>106.06422823057348</v>
      </c>
      <c r="J10" s="80">
        <f t="shared" si="3"/>
        <v>4</v>
      </c>
      <c r="K10" s="81">
        <f t="shared" si="4"/>
        <v>10</v>
      </c>
      <c r="L10" s="64">
        <v>1</v>
      </c>
      <c r="M10" s="82" t="s">
        <v>8</v>
      </c>
      <c r="N10" s="83">
        <v>82878</v>
      </c>
      <c r="O10" s="75">
        <v>74106.856163000004</v>
      </c>
      <c r="P10" s="84">
        <f t="shared" si="12"/>
        <v>85812.832687999995</v>
      </c>
      <c r="Q10" s="78"/>
      <c r="R10" s="77">
        <f t="shared" si="5"/>
        <v>115.79607762506127</v>
      </c>
      <c r="S10" s="78"/>
      <c r="T10" s="84">
        <f t="shared" si="13"/>
        <v>-795.34075199999995</v>
      </c>
      <c r="U10" s="85">
        <f t="shared" si="6"/>
        <v>103.54114805859214</v>
      </c>
      <c r="V10" s="86">
        <f t="shared" si="7"/>
        <v>30</v>
      </c>
      <c r="W10" s="78" t="str">
        <f t="shared" si="8"/>
        <v>0</v>
      </c>
      <c r="X10" s="78">
        <f t="shared" si="11"/>
        <v>0.03</v>
      </c>
      <c r="Y10" s="87">
        <f t="shared" si="9"/>
        <v>6.0362999999999998</v>
      </c>
      <c r="Z10" s="88">
        <f t="shared" si="10"/>
        <v>30.03</v>
      </c>
      <c r="AC10" s="93" t="s">
        <v>8</v>
      </c>
      <c r="AD10" s="4">
        <v>265966077873</v>
      </c>
      <c r="AE10" s="4">
        <v>93667142547</v>
      </c>
      <c r="AF10" s="4">
        <v>29892090</v>
      </c>
      <c r="AG10" s="4">
        <v>0</v>
      </c>
      <c r="AH10" s="5">
        <v>359663112510</v>
      </c>
      <c r="AI10" s="4">
        <v>269469826658</v>
      </c>
      <c r="AJ10" s="4">
        <v>85780070627</v>
      </c>
      <c r="AK10" s="4">
        <v>32762061</v>
      </c>
      <c r="AL10" s="4">
        <v>0</v>
      </c>
      <c r="AM10" s="6">
        <v>355282659346</v>
      </c>
      <c r="AN10" s="7">
        <f t="shared" si="14"/>
        <v>85812832688</v>
      </c>
      <c r="AO10" s="7">
        <f t="shared" si="15"/>
        <v>93697034637</v>
      </c>
    </row>
    <row r="11" spans="1:43">
      <c r="A11" s="481"/>
      <c r="B11" s="73">
        <v>1</v>
      </c>
      <c r="C11" s="74" t="s">
        <v>8</v>
      </c>
      <c r="D11" s="75">
        <v>335902</v>
      </c>
      <c r="E11" s="75">
        <v>345360.03704700002</v>
      </c>
      <c r="F11" s="76">
        <f t="shared" si="0"/>
        <v>355282.659346</v>
      </c>
      <c r="G11" s="77">
        <f t="shared" si="1"/>
        <v>102.87312405449204</v>
      </c>
      <c r="H11" s="78"/>
      <c r="I11" s="79">
        <f t="shared" si="2"/>
        <v>105.76973621651553</v>
      </c>
      <c r="J11" s="80">
        <f t="shared" si="3"/>
        <v>4</v>
      </c>
      <c r="K11" s="81">
        <f t="shared" si="4"/>
        <v>10</v>
      </c>
      <c r="L11" s="64">
        <v>1</v>
      </c>
      <c r="M11" s="82" t="s">
        <v>15</v>
      </c>
      <c r="N11" s="83">
        <v>88844</v>
      </c>
      <c r="O11" s="75">
        <v>78965.082529000007</v>
      </c>
      <c r="P11" s="84">
        <f t="shared" si="12"/>
        <v>91428.828951999996</v>
      </c>
      <c r="Q11" s="78"/>
      <c r="R11" s="77">
        <f t="shared" si="5"/>
        <v>115.78387057142967</v>
      </c>
      <c r="S11" s="78"/>
      <c r="T11" s="84">
        <f t="shared" si="13"/>
        <v>117.705609</v>
      </c>
      <c r="U11" s="85">
        <f t="shared" si="6"/>
        <v>102.90940181891854</v>
      </c>
      <c r="V11" s="86">
        <f t="shared" si="7"/>
        <v>30</v>
      </c>
      <c r="W11" s="78" t="str">
        <f t="shared" si="8"/>
        <v>0</v>
      </c>
      <c r="X11" s="78">
        <f t="shared" si="11"/>
        <v>1.9999999999999997E-2</v>
      </c>
      <c r="Y11" s="87">
        <f t="shared" si="9"/>
        <v>6.0297000000000001</v>
      </c>
      <c r="Z11" s="88">
        <f t="shared" si="10"/>
        <v>30.02</v>
      </c>
      <c r="AC11" s="93" t="s">
        <v>40</v>
      </c>
      <c r="AD11" s="4">
        <v>87154973000</v>
      </c>
      <c r="AE11" s="4">
        <v>24645184160</v>
      </c>
      <c r="AF11" s="4">
        <v>0</v>
      </c>
      <c r="AG11" s="4">
        <v>0</v>
      </c>
      <c r="AH11" s="5">
        <v>111800157160</v>
      </c>
      <c r="AI11" s="4">
        <v>88194096260</v>
      </c>
      <c r="AJ11" s="4">
        <v>22470306073</v>
      </c>
      <c r="AK11" s="4">
        <v>0</v>
      </c>
      <c r="AL11" s="4">
        <v>0</v>
      </c>
      <c r="AM11" s="6">
        <v>110664402333</v>
      </c>
      <c r="AN11" s="7">
        <f t="shared" si="14"/>
        <v>22470306073</v>
      </c>
      <c r="AO11" s="7">
        <f t="shared" si="15"/>
        <v>24645184160</v>
      </c>
    </row>
    <row r="12" spans="1:43">
      <c r="A12" s="481"/>
      <c r="B12" s="73">
        <v>1</v>
      </c>
      <c r="C12" s="74" t="s">
        <v>4</v>
      </c>
      <c r="D12" s="75">
        <v>317089</v>
      </c>
      <c r="E12" s="75">
        <v>324474.68664899998</v>
      </c>
      <c r="F12" s="76">
        <f t="shared" si="0"/>
        <v>334123.12461499998</v>
      </c>
      <c r="G12" s="77">
        <f t="shared" si="1"/>
        <v>102.97355644769824</v>
      </c>
      <c r="H12" s="78"/>
      <c r="I12" s="79">
        <f t="shared" si="2"/>
        <v>105.37203265171608</v>
      </c>
      <c r="J12" s="80">
        <f t="shared" si="3"/>
        <v>4</v>
      </c>
      <c r="K12" s="81">
        <f t="shared" si="4"/>
        <v>10</v>
      </c>
      <c r="L12" s="64">
        <v>1</v>
      </c>
      <c r="M12" s="82" t="s">
        <v>18</v>
      </c>
      <c r="N12" s="83">
        <v>88189</v>
      </c>
      <c r="O12" s="75">
        <v>78241.006802999997</v>
      </c>
      <c r="P12" s="84">
        <f t="shared" si="12"/>
        <v>90133.833431000006</v>
      </c>
      <c r="Q12" s="78"/>
      <c r="R12" s="77">
        <f t="shared" si="5"/>
        <v>115.20024743283851</v>
      </c>
      <c r="S12" s="78"/>
      <c r="T12" s="84">
        <f t="shared" si="13"/>
        <v>1381.085249</v>
      </c>
      <c r="U12" s="85">
        <f t="shared" si="6"/>
        <v>102.20530160337458</v>
      </c>
      <c r="V12" s="86">
        <f t="shared" si="7"/>
        <v>30</v>
      </c>
      <c r="W12" s="78" t="str">
        <f t="shared" si="8"/>
        <v>0</v>
      </c>
      <c r="X12" s="78">
        <f t="shared" si="11"/>
        <v>9.9999999999999967E-3</v>
      </c>
      <c r="Y12" s="87">
        <f t="shared" si="9"/>
        <v>6.0198</v>
      </c>
      <c r="Z12" s="88">
        <f t="shared" si="10"/>
        <v>30.01</v>
      </c>
      <c r="AC12" s="93" t="s">
        <v>37</v>
      </c>
      <c r="AD12" s="4">
        <v>90317094148</v>
      </c>
      <c r="AE12" s="4">
        <v>36917475804</v>
      </c>
      <c r="AF12" s="4">
        <v>0</v>
      </c>
      <c r="AG12" s="4">
        <v>0</v>
      </c>
      <c r="AH12" s="5">
        <v>127234569952</v>
      </c>
      <c r="AI12" s="4">
        <v>85792979288</v>
      </c>
      <c r="AJ12" s="4">
        <v>35924910844</v>
      </c>
      <c r="AK12" s="4">
        <v>0</v>
      </c>
      <c r="AL12" s="4">
        <v>0</v>
      </c>
      <c r="AM12" s="6">
        <v>121717890132</v>
      </c>
      <c r="AN12" s="7">
        <f t="shared" si="14"/>
        <v>35924910844</v>
      </c>
      <c r="AO12" s="7">
        <f t="shared" si="15"/>
        <v>36917475804</v>
      </c>
    </row>
    <row r="13" spans="1:43" ht="17.25" thickBot="1">
      <c r="A13" s="482"/>
      <c r="B13" s="94">
        <v>1</v>
      </c>
      <c r="C13" s="95" t="s">
        <v>7</v>
      </c>
      <c r="D13" s="96">
        <v>451356</v>
      </c>
      <c r="E13" s="96">
        <v>475112.234283</v>
      </c>
      <c r="F13" s="97">
        <f>VLOOKUP(C13,$AC$33:$AR$33,16,FALSE)/1000000</f>
        <v>473779.45189700002</v>
      </c>
      <c r="G13" s="98">
        <f t="shared" si="1"/>
        <v>99.719480516427595</v>
      </c>
      <c r="H13" s="99"/>
      <c r="I13" s="100">
        <f t="shared" si="2"/>
        <v>104.96801901315148</v>
      </c>
      <c r="J13" s="101">
        <f t="shared" si="3"/>
        <v>4</v>
      </c>
      <c r="K13" s="102">
        <f t="shared" si="4"/>
        <v>10</v>
      </c>
      <c r="L13" s="64">
        <v>1</v>
      </c>
      <c r="M13" s="103" t="s">
        <v>4</v>
      </c>
      <c r="N13" s="104">
        <v>73235</v>
      </c>
      <c r="O13" s="105">
        <v>65395.215643000003</v>
      </c>
      <c r="P13" s="106">
        <f t="shared" si="12"/>
        <v>69581.868700000006</v>
      </c>
      <c r="Q13" s="99"/>
      <c r="R13" s="98">
        <f t="shared" si="5"/>
        <v>106.40207852491139</v>
      </c>
      <c r="S13" s="99"/>
      <c r="T13" s="107">
        <f t="shared" si="13"/>
        <v>382.79008800000003</v>
      </c>
      <c r="U13" s="108">
        <f t="shared" si="6"/>
        <v>95.011768553287368</v>
      </c>
      <c r="V13" s="109">
        <f t="shared" si="7"/>
        <v>28.50353056598621</v>
      </c>
      <c r="W13" s="99" t="str">
        <f t="shared" si="8"/>
        <v/>
      </c>
      <c r="X13" s="99" t="str">
        <f t="shared" si="11"/>
        <v>0</v>
      </c>
      <c r="Y13" s="110">
        <f t="shared" si="9"/>
        <v>5.7007061131972421</v>
      </c>
      <c r="Z13" s="111">
        <f t="shared" si="10"/>
        <v>28.50353056598621</v>
      </c>
      <c r="AC13" s="93" t="s">
        <v>33</v>
      </c>
      <c r="AD13" s="4">
        <v>46652786928</v>
      </c>
      <c r="AE13" s="4">
        <v>21493131230</v>
      </c>
      <c r="AF13" s="4">
        <v>0</v>
      </c>
      <c r="AG13" s="4">
        <v>0</v>
      </c>
      <c r="AH13" s="5">
        <v>68145918158</v>
      </c>
      <c r="AI13" s="4">
        <v>45760663429</v>
      </c>
      <c r="AJ13" s="4">
        <v>20683245213</v>
      </c>
      <c r="AK13" s="4">
        <v>0</v>
      </c>
      <c r="AL13" s="4">
        <v>0</v>
      </c>
      <c r="AM13" s="6">
        <v>66443908642</v>
      </c>
      <c r="AN13" s="7">
        <f t="shared" si="14"/>
        <v>20683245213</v>
      </c>
      <c r="AO13" s="7">
        <f t="shared" si="15"/>
        <v>21493131230</v>
      </c>
    </row>
    <row r="14" spans="1:43">
      <c r="A14" s="467" t="s">
        <v>137</v>
      </c>
      <c r="B14" s="112">
        <v>2</v>
      </c>
      <c r="C14" s="113" t="s">
        <v>16</v>
      </c>
      <c r="D14" s="57">
        <v>676977</v>
      </c>
      <c r="E14" s="57">
        <v>660243.03428799997</v>
      </c>
      <c r="F14" s="58">
        <f t="shared" ref="F14:F45" si="16">VLOOKUP(C14,$AC$8:$AO$49,11,FALSE)/1000000</f>
        <v>836299.92984899995</v>
      </c>
      <c r="G14" s="59">
        <f t="shared" si="1"/>
        <v>126.66546808038015</v>
      </c>
      <c r="H14" s="60"/>
      <c r="I14" s="61">
        <f t="shared" si="2"/>
        <v>123.53446717525114</v>
      </c>
      <c r="J14" s="62">
        <f t="shared" si="3"/>
        <v>4</v>
      </c>
      <c r="K14" s="63">
        <f t="shared" si="4"/>
        <v>10</v>
      </c>
      <c r="L14" s="64">
        <v>2</v>
      </c>
      <c r="M14" s="114" t="s">
        <v>16</v>
      </c>
      <c r="N14" s="66">
        <v>70406</v>
      </c>
      <c r="O14" s="57">
        <v>72016.071668999997</v>
      </c>
      <c r="P14" s="67">
        <f t="shared" si="12"/>
        <v>79192.346214999998</v>
      </c>
      <c r="Q14" s="60"/>
      <c r="R14" s="59">
        <f t="shared" si="5"/>
        <v>109.96482365628546</v>
      </c>
      <c r="S14" s="60"/>
      <c r="T14" s="115">
        <f t="shared" si="13"/>
        <v>3012.40906</v>
      </c>
      <c r="U14" s="68">
        <f t="shared" si="6"/>
        <v>112.47954182171975</v>
      </c>
      <c r="V14" s="116">
        <f t="shared" si="7"/>
        <v>30</v>
      </c>
      <c r="W14" s="60" t="str">
        <f t="shared" si="8"/>
        <v>0</v>
      </c>
      <c r="X14" s="60">
        <f>COUNTIF(W14:W23,"0")*0.01</f>
        <v>0.06</v>
      </c>
      <c r="Y14" s="71">
        <f t="shared" si="9"/>
        <v>6.0627000000000004</v>
      </c>
      <c r="Z14" s="117">
        <f t="shared" si="10"/>
        <v>30.06</v>
      </c>
      <c r="AC14" s="93" t="s">
        <v>28</v>
      </c>
      <c r="AD14" s="4">
        <v>146573608004</v>
      </c>
      <c r="AE14" s="4">
        <v>48198934889</v>
      </c>
      <c r="AF14" s="4">
        <v>16003329</v>
      </c>
      <c r="AG14" s="4">
        <v>0</v>
      </c>
      <c r="AH14" s="5">
        <v>194788546222</v>
      </c>
      <c r="AI14" s="4">
        <v>140015681920</v>
      </c>
      <c r="AJ14" s="4">
        <v>45111296818</v>
      </c>
      <c r="AK14" s="4">
        <v>31239705</v>
      </c>
      <c r="AL14" s="4">
        <v>0</v>
      </c>
      <c r="AM14" s="6">
        <v>185158218443</v>
      </c>
      <c r="AN14" s="7">
        <f t="shared" si="14"/>
        <v>45142536523</v>
      </c>
      <c r="AO14" s="7">
        <f t="shared" si="15"/>
        <v>48214938218</v>
      </c>
    </row>
    <row r="15" spans="1:43">
      <c r="A15" s="468"/>
      <c r="B15" s="118">
        <v>2</v>
      </c>
      <c r="C15" s="119" t="s">
        <v>27</v>
      </c>
      <c r="D15" s="75">
        <v>195824</v>
      </c>
      <c r="E15" s="75">
        <v>201238.676939</v>
      </c>
      <c r="F15" s="76">
        <f t="shared" si="16"/>
        <v>221432.97364700001</v>
      </c>
      <c r="G15" s="77">
        <f t="shared" si="1"/>
        <v>110.03499775250528</v>
      </c>
      <c r="H15" s="78"/>
      <c r="I15" s="79">
        <f t="shared" si="2"/>
        <v>113.07754598363837</v>
      </c>
      <c r="J15" s="80">
        <f t="shared" si="3"/>
        <v>4</v>
      </c>
      <c r="K15" s="81">
        <f t="shared" si="4"/>
        <v>10</v>
      </c>
      <c r="L15" s="64">
        <v>2</v>
      </c>
      <c r="M15" s="120" t="s">
        <v>19</v>
      </c>
      <c r="N15" s="83">
        <v>50574</v>
      </c>
      <c r="O15" s="75">
        <v>46305.954360999996</v>
      </c>
      <c r="P15" s="84">
        <f t="shared" si="12"/>
        <v>54529.498098999997</v>
      </c>
      <c r="Q15" s="78"/>
      <c r="R15" s="77">
        <f t="shared" si="5"/>
        <v>117.75914966332292</v>
      </c>
      <c r="S15" s="78"/>
      <c r="T15" s="84">
        <f t="shared" si="13"/>
        <v>-707.04955600000005</v>
      </c>
      <c r="U15" s="85">
        <f t="shared" si="6"/>
        <v>107.82120872187289</v>
      </c>
      <c r="V15" s="86">
        <f t="shared" si="7"/>
        <v>30</v>
      </c>
      <c r="W15" s="78" t="str">
        <f t="shared" si="8"/>
        <v>0</v>
      </c>
      <c r="X15" s="78">
        <f t="shared" ref="X15:X23" si="17">IF(X14-0.01&lt;0,"0",X14-0.01)</f>
        <v>4.9999999999999996E-2</v>
      </c>
      <c r="Y15" s="87">
        <f t="shared" si="9"/>
        <v>6.0560999999999998</v>
      </c>
      <c r="Z15" s="88">
        <f t="shared" si="10"/>
        <v>30.05</v>
      </c>
      <c r="AC15" s="93" t="s">
        <v>31</v>
      </c>
      <c r="AD15" s="4">
        <v>80461707196</v>
      </c>
      <c r="AE15" s="4">
        <v>25244695515</v>
      </c>
      <c r="AF15" s="4">
        <v>0</v>
      </c>
      <c r="AG15" s="4">
        <v>0</v>
      </c>
      <c r="AH15" s="5">
        <v>105706402711</v>
      </c>
      <c r="AI15" s="4">
        <v>80394595523</v>
      </c>
      <c r="AJ15" s="4">
        <v>23543679890</v>
      </c>
      <c r="AK15" s="4">
        <v>0</v>
      </c>
      <c r="AL15" s="4">
        <v>0</v>
      </c>
      <c r="AM15" s="6">
        <v>103938275413</v>
      </c>
      <c r="AN15" s="7">
        <f t="shared" si="14"/>
        <v>23543679890</v>
      </c>
      <c r="AO15" s="7">
        <f t="shared" si="15"/>
        <v>25244695515</v>
      </c>
    </row>
    <row r="16" spans="1:43">
      <c r="A16" s="468"/>
      <c r="B16" s="118">
        <v>2</v>
      </c>
      <c r="C16" s="119" t="s">
        <v>19</v>
      </c>
      <c r="D16" s="75">
        <v>294194</v>
      </c>
      <c r="E16" s="75">
        <v>301156.88929800002</v>
      </c>
      <c r="F16" s="76">
        <f t="shared" si="16"/>
        <v>320107.50024000002</v>
      </c>
      <c r="G16" s="77">
        <f t="shared" si="1"/>
        <v>106.29260415930516</v>
      </c>
      <c r="H16" s="78"/>
      <c r="I16" s="79">
        <f t="shared" si="2"/>
        <v>108.80830344602542</v>
      </c>
      <c r="J16" s="80">
        <f t="shared" si="3"/>
        <v>4</v>
      </c>
      <c r="K16" s="81">
        <f t="shared" si="4"/>
        <v>10</v>
      </c>
      <c r="L16" s="64">
        <v>2</v>
      </c>
      <c r="M16" s="120" t="s">
        <v>10</v>
      </c>
      <c r="N16" s="83">
        <v>68028</v>
      </c>
      <c r="O16" s="75">
        <v>64637.749708000003</v>
      </c>
      <c r="P16" s="84">
        <f t="shared" si="12"/>
        <v>71725.208471999998</v>
      </c>
      <c r="Q16" s="78"/>
      <c r="R16" s="77">
        <f t="shared" si="5"/>
        <v>110.96489094378668</v>
      </c>
      <c r="S16" s="78"/>
      <c r="T16" s="84">
        <f t="shared" si="13"/>
        <v>1023.271404</v>
      </c>
      <c r="U16" s="85">
        <f t="shared" si="6"/>
        <v>105.43483340977245</v>
      </c>
      <c r="V16" s="86">
        <f t="shared" si="7"/>
        <v>30</v>
      </c>
      <c r="W16" s="78" t="str">
        <f t="shared" si="8"/>
        <v>0</v>
      </c>
      <c r="X16" s="78">
        <f t="shared" si="17"/>
        <v>3.9999999999999994E-2</v>
      </c>
      <c r="Y16" s="87">
        <f t="shared" si="9"/>
        <v>6.0495000000000001</v>
      </c>
      <c r="Z16" s="88">
        <f t="shared" si="10"/>
        <v>30.04</v>
      </c>
      <c r="AC16" s="93" t="s">
        <v>32</v>
      </c>
      <c r="AD16" s="4">
        <v>99762880131</v>
      </c>
      <c r="AE16" s="4">
        <v>30458689463</v>
      </c>
      <c r="AF16" s="4">
        <v>0</v>
      </c>
      <c r="AG16" s="4">
        <v>0</v>
      </c>
      <c r="AH16" s="5">
        <v>130221569594</v>
      </c>
      <c r="AI16" s="4">
        <v>99605872926</v>
      </c>
      <c r="AJ16" s="4">
        <v>27739406861</v>
      </c>
      <c r="AK16" s="4">
        <v>0</v>
      </c>
      <c r="AL16" s="4">
        <v>0</v>
      </c>
      <c r="AM16" s="6">
        <v>127345279787</v>
      </c>
      <c r="AN16" s="7">
        <f t="shared" si="14"/>
        <v>27739406861</v>
      </c>
      <c r="AO16" s="7">
        <f t="shared" si="15"/>
        <v>30458689463</v>
      </c>
    </row>
    <row r="17" spans="1:44">
      <c r="A17" s="468"/>
      <c r="B17" s="118">
        <v>2</v>
      </c>
      <c r="C17" s="119" t="s">
        <v>20</v>
      </c>
      <c r="D17" s="75">
        <v>245473</v>
      </c>
      <c r="E17" s="75">
        <v>250687.65062999999</v>
      </c>
      <c r="F17" s="76">
        <f t="shared" si="16"/>
        <v>264922.55995999998</v>
      </c>
      <c r="G17" s="77">
        <f t="shared" si="1"/>
        <v>105.67834486231229</v>
      </c>
      <c r="H17" s="78"/>
      <c r="I17" s="79">
        <f t="shared" si="2"/>
        <v>107.92329908380962</v>
      </c>
      <c r="J17" s="80">
        <f t="shared" si="3"/>
        <v>4</v>
      </c>
      <c r="K17" s="81">
        <f t="shared" si="4"/>
        <v>10</v>
      </c>
      <c r="L17" s="64">
        <v>2</v>
      </c>
      <c r="M17" s="120" t="s">
        <v>11</v>
      </c>
      <c r="N17" s="83">
        <v>56604</v>
      </c>
      <c r="O17" s="75">
        <v>49492.477228999996</v>
      </c>
      <c r="P17" s="84">
        <f t="shared" si="12"/>
        <v>57943.474570999999</v>
      </c>
      <c r="Q17" s="78"/>
      <c r="R17" s="77">
        <f t="shared" si="5"/>
        <v>117.07531692725246</v>
      </c>
      <c r="S17" s="78"/>
      <c r="T17" s="84">
        <f t="shared" si="13"/>
        <v>-29.840775000000001</v>
      </c>
      <c r="U17" s="85">
        <f t="shared" si="6"/>
        <v>102.3663956098509</v>
      </c>
      <c r="V17" s="86">
        <f t="shared" si="7"/>
        <v>30</v>
      </c>
      <c r="W17" s="78" t="str">
        <f t="shared" si="8"/>
        <v>0</v>
      </c>
      <c r="X17" s="78">
        <f t="shared" si="17"/>
        <v>2.9999999999999992E-2</v>
      </c>
      <c r="Y17" s="87">
        <f t="shared" si="9"/>
        <v>6.0231000000000003</v>
      </c>
      <c r="Z17" s="88">
        <f t="shared" si="10"/>
        <v>30.03</v>
      </c>
      <c r="AC17" s="93" t="s">
        <v>34</v>
      </c>
      <c r="AD17" s="4">
        <v>91395731180</v>
      </c>
      <c r="AE17" s="4">
        <v>33217423109</v>
      </c>
      <c r="AF17" s="4">
        <v>91427081</v>
      </c>
      <c r="AG17" s="4">
        <v>0</v>
      </c>
      <c r="AH17" s="5">
        <v>124704581370</v>
      </c>
      <c r="AI17" s="4">
        <v>90660350134</v>
      </c>
      <c r="AJ17" s="4">
        <v>31840521210</v>
      </c>
      <c r="AK17" s="4">
        <v>139889154</v>
      </c>
      <c r="AL17" s="4">
        <v>0</v>
      </c>
      <c r="AM17" s="6">
        <v>122640760498</v>
      </c>
      <c r="AN17" s="7">
        <f t="shared" si="14"/>
        <v>31980410364</v>
      </c>
      <c r="AO17" s="7">
        <f t="shared" si="15"/>
        <v>33308850190</v>
      </c>
    </row>
    <row r="18" spans="1:44">
      <c r="A18" s="468"/>
      <c r="B18" s="118">
        <v>2</v>
      </c>
      <c r="C18" s="119" t="s">
        <v>11</v>
      </c>
      <c r="D18" s="75">
        <v>281761</v>
      </c>
      <c r="E18" s="75">
        <v>290849.65911299997</v>
      </c>
      <c r="F18" s="76">
        <f t="shared" si="16"/>
        <v>302743.37933099997</v>
      </c>
      <c r="G18" s="77">
        <f t="shared" si="1"/>
        <v>104.08930175619669</v>
      </c>
      <c r="H18" s="78"/>
      <c r="I18" s="79">
        <f t="shared" si="2"/>
        <v>107.44687140200381</v>
      </c>
      <c r="J18" s="80">
        <f t="shared" si="3"/>
        <v>4</v>
      </c>
      <c r="K18" s="81">
        <f t="shared" si="4"/>
        <v>10</v>
      </c>
      <c r="L18" s="64">
        <v>2</v>
      </c>
      <c r="M18" s="120" t="s">
        <v>9</v>
      </c>
      <c r="N18" s="83">
        <v>62839</v>
      </c>
      <c r="O18" s="75">
        <v>56962.748211999999</v>
      </c>
      <c r="P18" s="84">
        <f t="shared" si="12"/>
        <v>63673.542368000002</v>
      </c>
      <c r="Q18" s="78"/>
      <c r="R18" s="77">
        <f t="shared" si="5"/>
        <v>111.78102245176837</v>
      </c>
      <c r="S18" s="78"/>
      <c r="T18" s="84">
        <f t="shared" si="13"/>
        <v>-87.370142999999999</v>
      </c>
      <c r="U18" s="85">
        <f t="shared" si="6"/>
        <v>101.32806436766977</v>
      </c>
      <c r="V18" s="86">
        <f t="shared" si="7"/>
        <v>30</v>
      </c>
      <c r="W18" s="78" t="str">
        <f t="shared" si="8"/>
        <v>0</v>
      </c>
      <c r="X18" s="78">
        <f t="shared" si="17"/>
        <v>1.999999999999999E-2</v>
      </c>
      <c r="Y18" s="87">
        <f t="shared" si="9"/>
        <v>6.0065999999999997</v>
      </c>
      <c r="Z18" s="88">
        <f t="shared" si="10"/>
        <v>30.02</v>
      </c>
      <c r="AC18" s="93" t="s">
        <v>36</v>
      </c>
      <c r="AD18" s="4">
        <v>72127377657</v>
      </c>
      <c r="AE18" s="4">
        <v>22731430843</v>
      </c>
      <c r="AF18" s="4">
        <v>0</v>
      </c>
      <c r="AG18" s="4">
        <v>0</v>
      </c>
      <c r="AH18" s="5">
        <v>94858808500</v>
      </c>
      <c r="AI18" s="4">
        <v>74996112729</v>
      </c>
      <c r="AJ18" s="4">
        <v>21922311899</v>
      </c>
      <c r="AK18" s="4">
        <v>0</v>
      </c>
      <c r="AL18" s="4">
        <v>0</v>
      </c>
      <c r="AM18" s="6">
        <v>96918424628</v>
      </c>
      <c r="AN18" s="7">
        <f t="shared" si="14"/>
        <v>21922311899</v>
      </c>
      <c r="AO18" s="7">
        <f t="shared" si="15"/>
        <v>22731430843</v>
      </c>
    </row>
    <row r="19" spans="1:44">
      <c r="A19" s="468"/>
      <c r="B19" s="118">
        <v>2</v>
      </c>
      <c r="C19" s="119" t="s">
        <v>9</v>
      </c>
      <c r="D19" s="75">
        <v>265241</v>
      </c>
      <c r="E19" s="75">
        <v>275323.45795399998</v>
      </c>
      <c r="F19" s="76">
        <f t="shared" si="16"/>
        <v>281096.60420499998</v>
      </c>
      <c r="G19" s="77">
        <f t="shared" si="1"/>
        <v>102.09685956071516</v>
      </c>
      <c r="H19" s="78"/>
      <c r="I19" s="79">
        <f t="shared" si="2"/>
        <v>105.97781044597177</v>
      </c>
      <c r="J19" s="80">
        <f t="shared" si="3"/>
        <v>4</v>
      </c>
      <c r="K19" s="81">
        <f t="shared" si="4"/>
        <v>10</v>
      </c>
      <c r="L19" s="64">
        <v>2</v>
      </c>
      <c r="M19" s="120" t="s">
        <v>26</v>
      </c>
      <c r="N19" s="83">
        <v>39956</v>
      </c>
      <c r="O19" s="75">
        <v>37768.931217999998</v>
      </c>
      <c r="P19" s="84">
        <f t="shared" si="12"/>
        <v>39991.796819000003</v>
      </c>
      <c r="Q19" s="78"/>
      <c r="R19" s="77">
        <f t="shared" si="5"/>
        <v>105.88543421620739</v>
      </c>
      <c r="S19" s="78"/>
      <c r="T19" s="84">
        <f t="shared" si="13"/>
        <v>413.13320399999998</v>
      </c>
      <c r="U19" s="85">
        <f t="shared" si="6"/>
        <v>100.08959059715689</v>
      </c>
      <c r="V19" s="86">
        <f t="shared" si="7"/>
        <v>30</v>
      </c>
      <c r="W19" s="78" t="str">
        <f t="shared" si="8"/>
        <v>0</v>
      </c>
      <c r="X19" s="78">
        <f t="shared" si="17"/>
        <v>9.9999999999999898E-3</v>
      </c>
      <c r="Y19" s="87">
        <f t="shared" si="9"/>
        <v>6.0033000000000003</v>
      </c>
      <c r="Z19" s="88">
        <f t="shared" si="10"/>
        <v>30.01</v>
      </c>
      <c r="AC19" s="93" t="s">
        <v>29</v>
      </c>
      <c r="AD19" s="4">
        <v>121434601717</v>
      </c>
      <c r="AE19" s="4">
        <v>40253188782</v>
      </c>
      <c r="AF19" s="4">
        <v>13116596</v>
      </c>
      <c r="AG19" s="4">
        <v>0</v>
      </c>
      <c r="AH19" s="5">
        <v>161700907095</v>
      </c>
      <c r="AI19" s="4">
        <v>129725363617</v>
      </c>
      <c r="AJ19" s="4">
        <v>38282775613</v>
      </c>
      <c r="AK19" s="4">
        <v>23377232</v>
      </c>
      <c r="AL19" s="4">
        <v>0</v>
      </c>
      <c r="AM19" s="6">
        <v>168031516462</v>
      </c>
      <c r="AN19" s="7">
        <f t="shared" si="14"/>
        <v>38306152845</v>
      </c>
      <c r="AO19" s="7">
        <f t="shared" si="15"/>
        <v>40266305378</v>
      </c>
    </row>
    <row r="20" spans="1:44">
      <c r="A20" s="468"/>
      <c r="B20" s="118">
        <v>2</v>
      </c>
      <c r="C20" s="119" t="s">
        <v>26</v>
      </c>
      <c r="D20" s="75">
        <v>173602</v>
      </c>
      <c r="E20" s="75">
        <v>194236.930261</v>
      </c>
      <c r="F20" s="76">
        <f t="shared" si="16"/>
        <v>183258.35127499999</v>
      </c>
      <c r="G20" s="77">
        <f t="shared" si="1"/>
        <v>94.347841591582053</v>
      </c>
      <c r="H20" s="78"/>
      <c r="I20" s="79">
        <f t="shared" si="2"/>
        <v>105.56235024654093</v>
      </c>
      <c r="J20" s="80">
        <f t="shared" si="3"/>
        <v>4</v>
      </c>
      <c r="K20" s="81">
        <f t="shared" si="4"/>
        <v>10</v>
      </c>
      <c r="L20" s="64">
        <v>2</v>
      </c>
      <c r="M20" s="120" t="s">
        <v>20</v>
      </c>
      <c r="N20" s="83">
        <v>51645</v>
      </c>
      <c r="O20" s="75">
        <v>45982.541436</v>
      </c>
      <c r="P20" s="84">
        <f t="shared" si="12"/>
        <v>51221.426965999999</v>
      </c>
      <c r="Q20" s="78"/>
      <c r="R20" s="77">
        <f t="shared" si="5"/>
        <v>111.3932056958871</v>
      </c>
      <c r="S20" s="78"/>
      <c r="T20" s="84">
        <f t="shared" si="13"/>
        <v>107.969615</v>
      </c>
      <c r="U20" s="85">
        <f t="shared" si="6"/>
        <v>99.179837285313184</v>
      </c>
      <c r="V20" s="86">
        <f t="shared" si="7"/>
        <v>29.753951185593955</v>
      </c>
      <c r="W20" s="78" t="str">
        <f t="shared" si="8"/>
        <v/>
      </c>
      <c r="X20" s="78" t="str">
        <f t="shared" si="17"/>
        <v>0</v>
      </c>
      <c r="Y20" s="87">
        <f t="shared" si="9"/>
        <v>5.9507902371187908</v>
      </c>
      <c r="Z20" s="88">
        <f t="shared" si="10"/>
        <v>29.753951185593955</v>
      </c>
      <c r="AC20" s="93" t="s">
        <v>30</v>
      </c>
      <c r="AD20" s="4">
        <v>83554897418</v>
      </c>
      <c r="AE20" s="4">
        <v>35320098168</v>
      </c>
      <c r="AF20" s="4">
        <v>10739430</v>
      </c>
      <c r="AG20" s="4">
        <v>0</v>
      </c>
      <c r="AH20" s="5">
        <v>118885735016</v>
      </c>
      <c r="AI20" s="4">
        <v>80210736074</v>
      </c>
      <c r="AJ20" s="4">
        <v>36361574769</v>
      </c>
      <c r="AK20" s="4">
        <v>20956961</v>
      </c>
      <c r="AL20" s="4">
        <v>0</v>
      </c>
      <c r="AM20" s="6">
        <v>116593267804</v>
      </c>
      <c r="AN20" s="7">
        <f t="shared" si="14"/>
        <v>36382531730</v>
      </c>
      <c r="AO20" s="7">
        <f t="shared" si="15"/>
        <v>35330837598</v>
      </c>
    </row>
    <row r="21" spans="1:44">
      <c r="A21" s="468"/>
      <c r="B21" s="118">
        <v>2</v>
      </c>
      <c r="C21" s="119" t="s">
        <v>10</v>
      </c>
      <c r="D21" s="75">
        <v>352943</v>
      </c>
      <c r="E21" s="75">
        <v>369288.89427799999</v>
      </c>
      <c r="F21" s="76">
        <f t="shared" si="16"/>
        <v>371832.439358</v>
      </c>
      <c r="G21" s="77">
        <f t="shared" si="1"/>
        <v>100.68876836520441</v>
      </c>
      <c r="H21" s="78"/>
      <c r="I21" s="79">
        <f t="shared" si="2"/>
        <v>105.35198016620248</v>
      </c>
      <c r="J21" s="80">
        <f t="shared" si="3"/>
        <v>4</v>
      </c>
      <c r="K21" s="81">
        <f t="shared" si="4"/>
        <v>10</v>
      </c>
      <c r="L21" s="64">
        <v>2</v>
      </c>
      <c r="M21" s="120" t="s">
        <v>27</v>
      </c>
      <c r="N21" s="83">
        <v>53537</v>
      </c>
      <c r="O21" s="75">
        <v>48063.012169000001</v>
      </c>
      <c r="P21" s="84">
        <f t="shared" si="12"/>
        <v>52454.870233000001</v>
      </c>
      <c r="Q21" s="78"/>
      <c r="R21" s="77">
        <f t="shared" si="5"/>
        <v>109.13770874067832</v>
      </c>
      <c r="S21" s="78"/>
      <c r="T21" s="84">
        <f t="shared" si="13"/>
        <v>560.74828200000002</v>
      </c>
      <c r="U21" s="85">
        <f t="shared" si="6"/>
        <v>97.978725429142457</v>
      </c>
      <c r="V21" s="86">
        <f t="shared" si="7"/>
        <v>29.393617628742735</v>
      </c>
      <c r="W21" s="78" t="str">
        <f t="shared" si="8"/>
        <v/>
      </c>
      <c r="X21" s="78" t="str">
        <f t="shared" si="17"/>
        <v>0</v>
      </c>
      <c r="Y21" s="87">
        <f t="shared" si="9"/>
        <v>5.8787235257485468</v>
      </c>
      <c r="Z21" s="88">
        <f t="shared" si="10"/>
        <v>29.393617628742735</v>
      </c>
      <c r="AC21" s="93" t="s">
        <v>35</v>
      </c>
      <c r="AD21" s="4">
        <v>78346855800</v>
      </c>
      <c r="AE21" s="4">
        <v>24913744250</v>
      </c>
      <c r="AF21" s="4">
        <v>84354505</v>
      </c>
      <c r="AG21" s="4">
        <v>0</v>
      </c>
      <c r="AH21" s="5">
        <v>103344954555</v>
      </c>
      <c r="AI21" s="4">
        <v>79862168345</v>
      </c>
      <c r="AJ21" s="4">
        <v>24608517248</v>
      </c>
      <c r="AK21" s="4">
        <v>106162909</v>
      </c>
      <c r="AL21" s="4">
        <v>0</v>
      </c>
      <c r="AM21" s="6">
        <v>104576848502</v>
      </c>
      <c r="AN21" s="7">
        <f t="shared" si="14"/>
        <v>24714680157</v>
      </c>
      <c r="AO21" s="7">
        <f t="shared" si="15"/>
        <v>24998098755</v>
      </c>
    </row>
    <row r="22" spans="1:44">
      <c r="A22" s="468"/>
      <c r="B22" s="118">
        <v>2</v>
      </c>
      <c r="C22" s="119" t="s">
        <v>21</v>
      </c>
      <c r="D22" s="75">
        <v>147268</v>
      </c>
      <c r="E22" s="75">
        <v>151992.588969</v>
      </c>
      <c r="F22" s="76">
        <f t="shared" si="16"/>
        <v>152010.858179</v>
      </c>
      <c r="G22" s="77">
        <f t="shared" si="1"/>
        <v>100.0120198031522</v>
      </c>
      <c r="H22" s="78"/>
      <c r="I22" s="79">
        <f t="shared" si="2"/>
        <v>103.22056263343021</v>
      </c>
      <c r="J22" s="80">
        <f t="shared" si="3"/>
        <v>4</v>
      </c>
      <c r="K22" s="81">
        <f t="shared" si="4"/>
        <v>10</v>
      </c>
      <c r="L22" s="64">
        <v>2</v>
      </c>
      <c r="M22" s="120" t="s">
        <v>21</v>
      </c>
      <c r="N22" s="83">
        <v>48945</v>
      </c>
      <c r="O22" s="75">
        <v>44861.421778000004</v>
      </c>
      <c r="P22" s="84">
        <f t="shared" si="12"/>
        <v>47886.807580000001</v>
      </c>
      <c r="Q22" s="78"/>
      <c r="R22" s="77">
        <f t="shared" si="5"/>
        <v>106.74384734610361</v>
      </c>
      <c r="S22" s="78"/>
      <c r="T22" s="84">
        <f t="shared" si="13"/>
        <v>-821.50863800000002</v>
      </c>
      <c r="U22" s="85">
        <f t="shared" si="6"/>
        <v>97.837996894473392</v>
      </c>
      <c r="V22" s="86">
        <f t="shared" si="7"/>
        <v>29.351399068342015</v>
      </c>
      <c r="W22" s="78" t="str">
        <f t="shared" si="8"/>
        <v/>
      </c>
      <c r="X22" s="78" t="str">
        <f t="shared" si="17"/>
        <v>0</v>
      </c>
      <c r="Y22" s="87">
        <f t="shared" si="9"/>
        <v>5.8702798136684029</v>
      </c>
      <c r="Z22" s="88">
        <f t="shared" si="10"/>
        <v>29.351399068342015</v>
      </c>
      <c r="AC22" s="93" t="s">
        <v>9</v>
      </c>
      <c r="AD22" s="4">
        <v>218820400629</v>
      </c>
      <c r="AE22" s="4">
        <v>66118389156</v>
      </c>
      <c r="AF22" s="4">
        <v>55595040</v>
      </c>
      <c r="AG22" s="4">
        <v>0</v>
      </c>
      <c r="AH22" s="5">
        <v>284994384825</v>
      </c>
      <c r="AI22" s="4">
        <v>217423061837</v>
      </c>
      <c r="AJ22" s="4">
        <v>63552815342</v>
      </c>
      <c r="AK22" s="4">
        <v>120727026</v>
      </c>
      <c r="AL22" s="4">
        <v>0</v>
      </c>
      <c r="AM22" s="6">
        <v>281096604205</v>
      </c>
      <c r="AN22" s="7">
        <f t="shared" si="14"/>
        <v>63673542368</v>
      </c>
      <c r="AO22" s="7">
        <f t="shared" si="15"/>
        <v>66173984196</v>
      </c>
    </row>
    <row r="23" spans="1:44" ht="17.25" thickBot="1">
      <c r="A23" s="469"/>
      <c r="B23" s="121">
        <v>2</v>
      </c>
      <c r="C23" s="122" t="s">
        <v>5</v>
      </c>
      <c r="D23" s="96">
        <v>255500</v>
      </c>
      <c r="E23" s="96">
        <v>265164.78894900001</v>
      </c>
      <c r="F23" s="97">
        <f t="shared" si="16"/>
        <v>242209.65268</v>
      </c>
      <c r="G23" s="98">
        <f t="shared" si="1"/>
        <v>91.343067697644031</v>
      </c>
      <c r="H23" s="99"/>
      <c r="I23" s="100">
        <f t="shared" si="2"/>
        <v>94.798298504892372</v>
      </c>
      <c r="J23" s="101">
        <f t="shared" si="3"/>
        <v>3.791931940195695</v>
      </c>
      <c r="K23" s="102">
        <f t="shared" si="4"/>
        <v>9.4798298504892369</v>
      </c>
      <c r="L23" s="64">
        <v>2</v>
      </c>
      <c r="M23" s="123" t="s">
        <v>5</v>
      </c>
      <c r="N23" s="104">
        <v>68038</v>
      </c>
      <c r="O23" s="105">
        <v>78276.518389000004</v>
      </c>
      <c r="P23" s="106">
        <f t="shared" si="12"/>
        <v>57053.663877999999</v>
      </c>
      <c r="Q23" s="99"/>
      <c r="R23" s="98">
        <f t="shared" si="5"/>
        <v>72.887329498315552</v>
      </c>
      <c r="S23" s="99"/>
      <c r="T23" s="107">
        <f t="shared" si="13"/>
        <v>535.64296300000001</v>
      </c>
      <c r="U23" s="108">
        <f t="shared" si="6"/>
        <v>83.855586404656222</v>
      </c>
      <c r="V23" s="109">
        <f t="shared" si="7"/>
        <v>25.156675921396864</v>
      </c>
      <c r="W23" s="99" t="str">
        <f t="shared" si="8"/>
        <v/>
      </c>
      <c r="X23" s="99" t="str">
        <f t="shared" si="17"/>
        <v>0</v>
      </c>
      <c r="Y23" s="110">
        <f t="shared" si="9"/>
        <v>5.0313351842793734</v>
      </c>
      <c r="Z23" s="111">
        <f t="shared" si="10"/>
        <v>25.156675921396864</v>
      </c>
      <c r="AC23" s="93" t="s">
        <v>26</v>
      </c>
      <c r="AD23" s="4">
        <v>149364559878</v>
      </c>
      <c r="AE23" s="4">
        <v>41358336201</v>
      </c>
      <c r="AF23" s="4">
        <v>127960542</v>
      </c>
      <c r="AG23" s="4">
        <v>0</v>
      </c>
      <c r="AH23" s="5">
        <v>190850856621</v>
      </c>
      <c r="AI23" s="4">
        <v>143266554456</v>
      </c>
      <c r="AJ23" s="4">
        <v>39855370147</v>
      </c>
      <c r="AK23" s="4">
        <v>136426672</v>
      </c>
      <c r="AL23" s="4">
        <v>0</v>
      </c>
      <c r="AM23" s="6">
        <v>183258351275</v>
      </c>
      <c r="AN23" s="7">
        <f t="shared" si="14"/>
        <v>39991796819</v>
      </c>
      <c r="AO23" s="7">
        <f t="shared" si="15"/>
        <v>41486296743</v>
      </c>
    </row>
    <row r="24" spans="1:44">
      <c r="A24" s="477" t="s">
        <v>138</v>
      </c>
      <c r="B24" s="124">
        <v>3</v>
      </c>
      <c r="C24" s="125" t="s">
        <v>12</v>
      </c>
      <c r="D24" s="57">
        <v>114428</v>
      </c>
      <c r="E24" s="57">
        <v>115577.487697</v>
      </c>
      <c r="F24" s="58">
        <f t="shared" si="16"/>
        <v>136088.018491</v>
      </c>
      <c r="G24" s="59">
        <f t="shared" si="1"/>
        <v>117.74612963362792</v>
      </c>
      <c r="H24" s="60"/>
      <c r="I24" s="61">
        <f t="shared" si="2"/>
        <v>118.92894963732653</v>
      </c>
      <c r="J24" s="62">
        <f t="shared" si="3"/>
        <v>4</v>
      </c>
      <c r="K24" s="63">
        <f t="shared" si="4"/>
        <v>10</v>
      </c>
      <c r="L24" s="64">
        <v>3</v>
      </c>
      <c r="M24" s="126" t="s">
        <v>23</v>
      </c>
      <c r="N24" s="66">
        <v>35050</v>
      </c>
      <c r="O24" s="57">
        <v>32048.632395000001</v>
      </c>
      <c r="P24" s="67">
        <f t="shared" si="12"/>
        <v>39599.168184000002</v>
      </c>
      <c r="Q24" s="60"/>
      <c r="R24" s="59">
        <f t="shared" si="5"/>
        <v>123.55961931835189</v>
      </c>
      <c r="S24" s="60"/>
      <c r="T24" s="115">
        <f t="shared" si="13"/>
        <v>94.967950000000002</v>
      </c>
      <c r="U24" s="68">
        <f t="shared" si="6"/>
        <v>112.97908183737519</v>
      </c>
      <c r="V24" s="116">
        <f t="shared" si="7"/>
        <v>30</v>
      </c>
      <c r="W24" s="60" t="str">
        <f t="shared" si="8"/>
        <v>0</v>
      </c>
      <c r="X24" s="60">
        <f>COUNTIF(W24:W33,"0")*0.01</f>
        <v>7.0000000000000007E-2</v>
      </c>
      <c r="Y24" s="71">
        <f t="shared" si="9"/>
        <v>6.0659999999999998</v>
      </c>
      <c r="Z24" s="117">
        <f t="shared" si="10"/>
        <v>30.07</v>
      </c>
      <c r="AC24" s="93" t="s">
        <v>38</v>
      </c>
      <c r="AD24" s="4">
        <v>63065688161</v>
      </c>
      <c r="AE24" s="4">
        <v>22332688915</v>
      </c>
      <c r="AF24" s="4">
        <v>12773290</v>
      </c>
      <c r="AG24" s="4">
        <v>0</v>
      </c>
      <c r="AH24" s="5">
        <v>85411150366</v>
      </c>
      <c r="AI24" s="4">
        <v>60500396851</v>
      </c>
      <c r="AJ24" s="4">
        <v>21054710454</v>
      </c>
      <c r="AK24" s="4">
        <v>21810856</v>
      </c>
      <c r="AL24" s="4">
        <v>0</v>
      </c>
      <c r="AM24" s="6">
        <v>81576918161</v>
      </c>
      <c r="AN24" s="7">
        <f t="shared" si="14"/>
        <v>21076521310</v>
      </c>
      <c r="AO24" s="7">
        <f t="shared" si="15"/>
        <v>22345462205</v>
      </c>
    </row>
    <row r="25" spans="1:44">
      <c r="A25" s="478"/>
      <c r="B25" s="127">
        <v>3</v>
      </c>
      <c r="C25" s="128" t="s">
        <v>29</v>
      </c>
      <c r="D25" s="75">
        <v>146079</v>
      </c>
      <c r="E25" s="75">
        <v>153802.95364699999</v>
      </c>
      <c r="F25" s="76">
        <f t="shared" si="16"/>
        <v>168031.516462</v>
      </c>
      <c r="G25" s="77">
        <f t="shared" si="1"/>
        <v>109.25116356845567</v>
      </c>
      <c r="H25" s="78"/>
      <c r="I25" s="79">
        <f t="shared" si="2"/>
        <v>115.02783867770179</v>
      </c>
      <c r="J25" s="80">
        <f t="shared" si="3"/>
        <v>4</v>
      </c>
      <c r="K25" s="81">
        <f t="shared" si="4"/>
        <v>10</v>
      </c>
      <c r="L25" s="64">
        <v>3</v>
      </c>
      <c r="M25" s="129" t="s">
        <v>6</v>
      </c>
      <c r="N25" s="83">
        <v>37301</v>
      </c>
      <c r="O25" s="75">
        <v>34175.038414000002</v>
      </c>
      <c r="P25" s="84">
        <f t="shared" si="12"/>
        <v>39480.169204999998</v>
      </c>
      <c r="Q25" s="78"/>
      <c r="R25" s="77">
        <f t="shared" si="5"/>
        <v>115.52340842088627</v>
      </c>
      <c r="S25" s="78"/>
      <c r="T25" s="84">
        <f t="shared" si="13"/>
        <v>527.46367899999996</v>
      </c>
      <c r="U25" s="85">
        <f t="shared" si="6"/>
        <v>105.84212006380525</v>
      </c>
      <c r="V25" s="86">
        <f t="shared" si="7"/>
        <v>30</v>
      </c>
      <c r="W25" s="78" t="str">
        <f t="shared" si="8"/>
        <v>0</v>
      </c>
      <c r="X25" s="78">
        <f t="shared" ref="X25:X33" si="18">IF(X24-0.01&lt;0,"0",X24-0.01)</f>
        <v>6.0000000000000005E-2</v>
      </c>
      <c r="Y25" s="87">
        <f t="shared" si="9"/>
        <v>6.0528000000000004</v>
      </c>
      <c r="Z25" s="88">
        <f t="shared" si="10"/>
        <v>30.06</v>
      </c>
      <c r="AC25" s="93" t="s">
        <v>10</v>
      </c>
      <c r="AD25" s="4">
        <v>303830898002</v>
      </c>
      <c r="AE25" s="4">
        <v>72444376667</v>
      </c>
      <c r="AF25" s="4">
        <v>0</v>
      </c>
      <c r="AG25" s="4">
        <v>0</v>
      </c>
      <c r="AH25" s="5">
        <v>376275274669</v>
      </c>
      <c r="AI25" s="4">
        <v>300107230886</v>
      </c>
      <c r="AJ25" s="4">
        <v>71725208472</v>
      </c>
      <c r="AK25" s="4">
        <v>0</v>
      </c>
      <c r="AL25" s="4">
        <v>0</v>
      </c>
      <c r="AM25" s="6">
        <v>371832439358</v>
      </c>
      <c r="AN25" s="7">
        <f t="shared" si="14"/>
        <v>71725208472</v>
      </c>
      <c r="AO25" s="7">
        <f t="shared" si="15"/>
        <v>72444376667</v>
      </c>
    </row>
    <row r="26" spans="1:44">
      <c r="A26" s="478"/>
      <c r="B26" s="127">
        <v>3</v>
      </c>
      <c r="C26" s="128" t="s">
        <v>28</v>
      </c>
      <c r="D26" s="75">
        <v>168242</v>
      </c>
      <c r="E26" s="75">
        <v>173959.69141699999</v>
      </c>
      <c r="F26" s="76">
        <f t="shared" si="16"/>
        <v>185158.21844299999</v>
      </c>
      <c r="G26" s="77">
        <f t="shared" si="1"/>
        <v>106.43742635709552</v>
      </c>
      <c r="H26" s="78"/>
      <c r="I26" s="79">
        <f t="shared" si="2"/>
        <v>110.05469409719332</v>
      </c>
      <c r="J26" s="80">
        <f t="shared" si="3"/>
        <v>4</v>
      </c>
      <c r="K26" s="81">
        <f t="shared" si="4"/>
        <v>10</v>
      </c>
      <c r="L26" s="64">
        <v>3</v>
      </c>
      <c r="M26" s="129" t="s">
        <v>12</v>
      </c>
      <c r="N26" s="83">
        <v>32723</v>
      </c>
      <c r="O26" s="75">
        <v>30069.662999</v>
      </c>
      <c r="P26" s="84">
        <f t="shared" si="12"/>
        <v>33721.867566000001</v>
      </c>
      <c r="Q26" s="78"/>
      <c r="R26" s="77">
        <f t="shared" si="5"/>
        <v>112.14581143500496</v>
      </c>
      <c r="S26" s="78"/>
      <c r="T26" s="84">
        <f t="shared" si="13"/>
        <v>307.49366800000001</v>
      </c>
      <c r="U26" s="85">
        <f t="shared" si="6"/>
        <v>103.05249386058735</v>
      </c>
      <c r="V26" s="86">
        <f t="shared" si="7"/>
        <v>30</v>
      </c>
      <c r="W26" s="78" t="str">
        <f t="shared" si="8"/>
        <v>0</v>
      </c>
      <c r="X26" s="78">
        <f t="shared" si="18"/>
        <v>0.05</v>
      </c>
      <c r="Y26" s="87">
        <f t="shared" si="9"/>
        <v>6.0330000000000004</v>
      </c>
      <c r="Z26" s="88">
        <f t="shared" si="10"/>
        <v>30.05</v>
      </c>
      <c r="AC26" s="93" t="s">
        <v>42</v>
      </c>
      <c r="AD26" s="4">
        <v>79169112171</v>
      </c>
      <c r="AE26" s="4">
        <v>21583326885</v>
      </c>
      <c r="AF26" s="4">
        <v>0</v>
      </c>
      <c r="AG26" s="4">
        <v>0</v>
      </c>
      <c r="AH26" s="5">
        <v>100752439056</v>
      </c>
      <c r="AI26" s="4">
        <v>80927489292</v>
      </c>
      <c r="AJ26" s="4">
        <v>20602014917</v>
      </c>
      <c r="AK26" s="4">
        <v>0</v>
      </c>
      <c r="AL26" s="4">
        <v>0</v>
      </c>
      <c r="AM26" s="6">
        <v>101529504209</v>
      </c>
      <c r="AN26" s="7">
        <f t="shared" si="14"/>
        <v>20602014917</v>
      </c>
      <c r="AO26" s="7">
        <f t="shared" si="15"/>
        <v>21583326885</v>
      </c>
    </row>
    <row r="27" spans="1:44">
      <c r="A27" s="478"/>
      <c r="B27" s="127">
        <v>3</v>
      </c>
      <c r="C27" s="128" t="s">
        <v>37</v>
      </c>
      <c r="D27" s="75">
        <v>111060</v>
      </c>
      <c r="E27" s="75">
        <v>113168.49449300001</v>
      </c>
      <c r="F27" s="76">
        <f t="shared" si="16"/>
        <v>121717.890132</v>
      </c>
      <c r="G27" s="77">
        <f t="shared" si="1"/>
        <v>107.55457221314261</v>
      </c>
      <c r="H27" s="78"/>
      <c r="I27" s="79">
        <f t="shared" si="2"/>
        <v>109.59651551593734</v>
      </c>
      <c r="J27" s="80">
        <f t="shared" si="3"/>
        <v>4</v>
      </c>
      <c r="K27" s="81">
        <f t="shared" si="4"/>
        <v>10</v>
      </c>
      <c r="L27" s="64">
        <v>3</v>
      </c>
      <c r="M27" s="129" t="s">
        <v>13</v>
      </c>
      <c r="N27" s="83">
        <v>43423</v>
      </c>
      <c r="O27" s="75">
        <v>39525.569112999998</v>
      </c>
      <c r="P27" s="84">
        <f t="shared" si="12"/>
        <v>44634.275407000001</v>
      </c>
      <c r="Q27" s="78"/>
      <c r="R27" s="77">
        <f t="shared" si="5"/>
        <v>112.92506701015405</v>
      </c>
      <c r="S27" s="78"/>
      <c r="T27" s="84">
        <f t="shared" si="13"/>
        <v>1062.2195449999999</v>
      </c>
      <c r="U27" s="85">
        <f t="shared" si="6"/>
        <v>102.78947886373581</v>
      </c>
      <c r="V27" s="86">
        <f t="shared" si="7"/>
        <v>30</v>
      </c>
      <c r="W27" s="78" t="str">
        <f t="shared" si="8"/>
        <v>0</v>
      </c>
      <c r="X27" s="78">
        <f t="shared" si="18"/>
        <v>0.04</v>
      </c>
      <c r="Y27" s="87">
        <f t="shared" si="9"/>
        <v>6.0263999999999998</v>
      </c>
      <c r="Z27" s="88">
        <f t="shared" si="10"/>
        <v>30.04</v>
      </c>
      <c r="AC27" s="93" t="s">
        <v>39</v>
      </c>
      <c r="AD27" s="4">
        <v>48125514107</v>
      </c>
      <c r="AE27" s="4">
        <v>20516265403</v>
      </c>
      <c r="AF27" s="4">
        <v>0</v>
      </c>
      <c r="AG27" s="4">
        <v>0</v>
      </c>
      <c r="AH27" s="5">
        <v>68641779510</v>
      </c>
      <c r="AI27" s="4">
        <v>49230297625</v>
      </c>
      <c r="AJ27" s="4">
        <v>19006836189</v>
      </c>
      <c r="AK27" s="4">
        <v>0</v>
      </c>
      <c r="AL27" s="4">
        <v>0</v>
      </c>
      <c r="AM27" s="6">
        <v>68237133814</v>
      </c>
      <c r="AN27" s="7">
        <f t="shared" si="14"/>
        <v>19006836189</v>
      </c>
      <c r="AO27" s="7">
        <f t="shared" si="15"/>
        <v>20516265403</v>
      </c>
    </row>
    <row r="28" spans="1:44">
      <c r="A28" s="478"/>
      <c r="B28" s="127">
        <v>3</v>
      </c>
      <c r="C28" s="128" t="s">
        <v>24</v>
      </c>
      <c r="D28" s="75">
        <v>140465</v>
      </c>
      <c r="E28" s="75">
        <v>143950.54982099999</v>
      </c>
      <c r="F28" s="76">
        <f t="shared" si="16"/>
        <v>153314.261757</v>
      </c>
      <c r="G28" s="77">
        <f t="shared" si="1"/>
        <v>106.50481151176123</v>
      </c>
      <c r="H28" s="78"/>
      <c r="I28" s="79">
        <f t="shared" si="2"/>
        <v>109.14766081016623</v>
      </c>
      <c r="J28" s="80">
        <f t="shared" si="3"/>
        <v>4</v>
      </c>
      <c r="K28" s="81">
        <f t="shared" si="4"/>
        <v>10</v>
      </c>
      <c r="L28" s="64">
        <v>3</v>
      </c>
      <c r="M28" s="129" t="s">
        <v>28</v>
      </c>
      <c r="N28" s="83">
        <v>44175</v>
      </c>
      <c r="O28" s="75">
        <v>38659.811818000002</v>
      </c>
      <c r="P28" s="84">
        <f t="shared" si="12"/>
        <v>45142.536523000002</v>
      </c>
      <c r="Q28" s="78"/>
      <c r="R28" s="77">
        <f t="shared" si="5"/>
        <v>116.76864009457398</v>
      </c>
      <c r="S28" s="78"/>
      <c r="T28" s="84">
        <f t="shared" si="13"/>
        <v>332.14992699999999</v>
      </c>
      <c r="U28" s="85">
        <f t="shared" si="6"/>
        <v>102.19023547934353</v>
      </c>
      <c r="V28" s="86">
        <f t="shared" si="7"/>
        <v>30</v>
      </c>
      <c r="W28" s="78" t="str">
        <f t="shared" si="8"/>
        <v>0</v>
      </c>
      <c r="X28" s="78">
        <f t="shared" si="18"/>
        <v>0.03</v>
      </c>
      <c r="Y28" s="87">
        <f t="shared" si="9"/>
        <v>6.0164999999999997</v>
      </c>
      <c r="Z28" s="88">
        <f t="shared" si="10"/>
        <v>30.03</v>
      </c>
      <c r="AC28" s="93" t="s">
        <v>41</v>
      </c>
      <c r="AD28" s="4">
        <v>28927040400</v>
      </c>
      <c r="AE28" s="4">
        <v>7148385350</v>
      </c>
      <c r="AF28" s="4">
        <v>0</v>
      </c>
      <c r="AG28" s="4">
        <v>0</v>
      </c>
      <c r="AH28" s="5">
        <v>36075425750</v>
      </c>
      <c r="AI28" s="4">
        <v>28830277751</v>
      </c>
      <c r="AJ28" s="4">
        <v>7430456486</v>
      </c>
      <c r="AK28" s="4">
        <v>3359063</v>
      </c>
      <c r="AL28" s="4">
        <v>0</v>
      </c>
      <c r="AM28" s="6">
        <v>36264093300</v>
      </c>
      <c r="AN28" s="7">
        <f t="shared" si="14"/>
        <v>7433815549</v>
      </c>
      <c r="AO28" s="7">
        <f t="shared" si="15"/>
        <v>7148385350</v>
      </c>
    </row>
    <row r="29" spans="1:44">
      <c r="A29" s="478"/>
      <c r="B29" s="127">
        <v>3</v>
      </c>
      <c r="C29" s="128" t="s">
        <v>6</v>
      </c>
      <c r="D29" s="75">
        <v>161565</v>
      </c>
      <c r="E29" s="75">
        <v>167727.92002699999</v>
      </c>
      <c r="F29" s="76">
        <f t="shared" si="16"/>
        <v>175811.98091300001</v>
      </c>
      <c r="G29" s="77">
        <f t="shared" si="1"/>
        <v>104.81974669732904</v>
      </c>
      <c r="H29" s="78"/>
      <c r="I29" s="79">
        <f t="shared" si="2"/>
        <v>108.81811092315786</v>
      </c>
      <c r="J29" s="80">
        <f t="shared" si="3"/>
        <v>4</v>
      </c>
      <c r="K29" s="81">
        <f t="shared" si="4"/>
        <v>10</v>
      </c>
      <c r="L29" s="64">
        <v>3</v>
      </c>
      <c r="M29" s="129" t="s">
        <v>35</v>
      </c>
      <c r="N29" s="83">
        <v>24369</v>
      </c>
      <c r="O29" s="75">
        <v>21140.229006000001</v>
      </c>
      <c r="P29" s="84">
        <f t="shared" si="12"/>
        <v>24714.680156999999</v>
      </c>
      <c r="Q29" s="78"/>
      <c r="R29" s="77">
        <f t="shared" si="5"/>
        <v>116.90828964050247</v>
      </c>
      <c r="S29" s="78"/>
      <c r="T29" s="84">
        <f t="shared" si="13"/>
        <v>-35.210248</v>
      </c>
      <c r="U29" s="85">
        <f t="shared" si="6"/>
        <v>101.41852417825926</v>
      </c>
      <c r="V29" s="86">
        <f t="shared" si="7"/>
        <v>30</v>
      </c>
      <c r="W29" s="78" t="str">
        <f t="shared" si="8"/>
        <v>0</v>
      </c>
      <c r="X29" s="78">
        <f t="shared" si="18"/>
        <v>1.9999999999999997E-2</v>
      </c>
      <c r="Y29" s="87">
        <f t="shared" si="9"/>
        <v>6.0132000000000003</v>
      </c>
      <c r="Z29" s="88">
        <f t="shared" si="10"/>
        <v>30.02</v>
      </c>
      <c r="AC29" s="93" t="s">
        <v>21</v>
      </c>
      <c r="AD29" s="4">
        <v>100626214832</v>
      </c>
      <c r="AE29" s="4">
        <v>48549237378</v>
      </c>
      <c r="AF29" s="4">
        <v>0</v>
      </c>
      <c r="AG29" s="4">
        <v>0</v>
      </c>
      <c r="AH29" s="5">
        <v>149175452210</v>
      </c>
      <c r="AI29" s="4">
        <v>104124050599</v>
      </c>
      <c r="AJ29" s="4">
        <v>47886807580</v>
      </c>
      <c r="AK29" s="4">
        <v>0</v>
      </c>
      <c r="AL29" s="4">
        <v>0</v>
      </c>
      <c r="AM29" s="6">
        <v>152010858179</v>
      </c>
      <c r="AN29" s="7">
        <f t="shared" si="14"/>
        <v>47886807580</v>
      </c>
      <c r="AO29" s="7">
        <f t="shared" si="15"/>
        <v>48549237378</v>
      </c>
    </row>
    <row r="30" spans="1:44">
      <c r="A30" s="478"/>
      <c r="B30" s="127">
        <v>3</v>
      </c>
      <c r="C30" s="128" t="s">
        <v>13</v>
      </c>
      <c r="D30" s="75">
        <v>247075</v>
      </c>
      <c r="E30" s="75">
        <v>258498.33028600001</v>
      </c>
      <c r="F30" s="76">
        <f t="shared" si="16"/>
        <v>267838.960601</v>
      </c>
      <c r="G30" s="77">
        <f t="shared" si="1"/>
        <v>103.61341998018541</v>
      </c>
      <c r="H30" s="78"/>
      <c r="I30" s="79">
        <f t="shared" si="2"/>
        <v>108.40390998725083</v>
      </c>
      <c r="J30" s="80">
        <f t="shared" si="3"/>
        <v>4</v>
      </c>
      <c r="K30" s="81">
        <f t="shared" si="4"/>
        <v>10</v>
      </c>
      <c r="L30" s="64">
        <v>3</v>
      </c>
      <c r="M30" s="129" t="s">
        <v>29</v>
      </c>
      <c r="N30" s="83">
        <v>37777</v>
      </c>
      <c r="O30" s="75">
        <v>34427.359450000004</v>
      </c>
      <c r="P30" s="84">
        <f t="shared" si="12"/>
        <v>38306.152844999997</v>
      </c>
      <c r="Q30" s="78"/>
      <c r="R30" s="77">
        <f t="shared" si="5"/>
        <v>111.26660149650249</v>
      </c>
      <c r="S30" s="78"/>
      <c r="T30" s="84">
        <f t="shared" si="13"/>
        <v>577.85498099999995</v>
      </c>
      <c r="U30" s="85">
        <f t="shared" si="6"/>
        <v>101.40072754586123</v>
      </c>
      <c r="V30" s="86">
        <f t="shared" si="7"/>
        <v>30</v>
      </c>
      <c r="W30" s="78" t="str">
        <f t="shared" si="8"/>
        <v>0</v>
      </c>
      <c r="X30" s="78">
        <f t="shared" si="18"/>
        <v>9.9999999999999967E-3</v>
      </c>
      <c r="Y30" s="87">
        <f t="shared" si="9"/>
        <v>6.0099</v>
      </c>
      <c r="Z30" s="88">
        <f t="shared" si="10"/>
        <v>30.01</v>
      </c>
      <c r="AC30" s="93" t="s">
        <v>43</v>
      </c>
      <c r="AD30" s="4">
        <v>126057726481</v>
      </c>
      <c r="AE30" s="4">
        <v>28556864725</v>
      </c>
      <c r="AF30" s="4">
        <v>0</v>
      </c>
      <c r="AG30" s="4">
        <v>286</v>
      </c>
      <c r="AH30" s="5">
        <v>154614591492</v>
      </c>
      <c r="AI30" s="4">
        <v>120301597456</v>
      </c>
      <c r="AJ30" s="4">
        <v>27137877919</v>
      </c>
      <c r="AK30" s="4">
        <v>0</v>
      </c>
      <c r="AL30" s="4">
        <v>286</v>
      </c>
      <c r="AM30" s="6">
        <v>147439475661</v>
      </c>
      <c r="AN30" s="7">
        <f t="shared" si="14"/>
        <v>27137878205</v>
      </c>
      <c r="AO30" s="7">
        <f t="shared" si="15"/>
        <v>28556865011</v>
      </c>
    </row>
    <row r="31" spans="1:44">
      <c r="A31" s="478"/>
      <c r="B31" s="127">
        <v>3</v>
      </c>
      <c r="C31" s="128" t="s">
        <v>23</v>
      </c>
      <c r="D31" s="75">
        <v>288449</v>
      </c>
      <c r="E31" s="75">
        <v>297196.94152599998</v>
      </c>
      <c r="F31" s="76">
        <f t="shared" si="16"/>
        <v>307367.70414699998</v>
      </c>
      <c r="G31" s="77">
        <f t="shared" si="1"/>
        <v>103.42222990881963</v>
      </c>
      <c r="H31" s="78"/>
      <c r="I31" s="79">
        <f t="shared" si="2"/>
        <v>106.55876919212756</v>
      </c>
      <c r="J31" s="80">
        <f t="shared" si="3"/>
        <v>4</v>
      </c>
      <c r="K31" s="81">
        <f t="shared" si="4"/>
        <v>10</v>
      </c>
      <c r="L31" s="64">
        <v>3</v>
      </c>
      <c r="M31" s="129" t="s">
        <v>22</v>
      </c>
      <c r="N31" s="83">
        <v>47487</v>
      </c>
      <c r="O31" s="75">
        <v>40664.920655000002</v>
      </c>
      <c r="P31" s="84">
        <f t="shared" si="12"/>
        <v>46715.434061</v>
      </c>
      <c r="Q31" s="78"/>
      <c r="R31" s="77">
        <f t="shared" si="5"/>
        <v>114.87895047756855</v>
      </c>
      <c r="S31" s="78"/>
      <c r="T31" s="84">
        <f t="shared" si="13"/>
        <v>-187.63722899999999</v>
      </c>
      <c r="U31" s="85">
        <f t="shared" si="6"/>
        <v>98.375205974266635</v>
      </c>
      <c r="V31" s="86">
        <f t="shared" si="7"/>
        <v>29.512561792279989</v>
      </c>
      <c r="W31" s="78" t="str">
        <f t="shared" si="8"/>
        <v/>
      </c>
      <c r="X31" s="78" t="str">
        <f t="shared" si="18"/>
        <v>0</v>
      </c>
      <c r="Y31" s="87">
        <f t="shared" si="9"/>
        <v>5.902512358455998</v>
      </c>
      <c r="Z31" s="88">
        <f t="shared" si="10"/>
        <v>29.512561792279989</v>
      </c>
      <c r="AC31" s="93" t="s">
        <v>15</v>
      </c>
      <c r="AD31" s="4">
        <v>284847296740</v>
      </c>
      <c r="AE31" s="4">
        <v>95219219017</v>
      </c>
      <c r="AF31" s="4">
        <v>0</v>
      </c>
      <c r="AG31" s="4">
        <v>0</v>
      </c>
      <c r="AH31" s="5">
        <v>380066515757</v>
      </c>
      <c r="AI31" s="4">
        <v>288236970629</v>
      </c>
      <c r="AJ31" s="4">
        <v>91428828952</v>
      </c>
      <c r="AK31" s="4">
        <v>0</v>
      </c>
      <c r="AL31" s="4">
        <v>0</v>
      </c>
      <c r="AM31" s="6">
        <v>379665799581</v>
      </c>
      <c r="AN31" s="7">
        <f t="shared" si="14"/>
        <v>91428828952</v>
      </c>
      <c r="AO31" s="7">
        <f t="shared" si="15"/>
        <v>95219219017</v>
      </c>
    </row>
    <row r="32" spans="1:44">
      <c r="A32" s="478"/>
      <c r="B32" s="127">
        <v>3</v>
      </c>
      <c r="C32" s="128" t="s">
        <v>22</v>
      </c>
      <c r="D32" s="75">
        <v>215956</v>
      </c>
      <c r="E32" s="75">
        <v>224108.17157100001</v>
      </c>
      <c r="F32" s="76">
        <f t="shared" si="16"/>
        <v>227777.07628400001</v>
      </c>
      <c r="G32" s="77">
        <f t="shared" si="1"/>
        <v>101.63711331330802</v>
      </c>
      <c r="H32" s="78"/>
      <c r="I32" s="79">
        <f t="shared" si="2"/>
        <v>105.47383554242532</v>
      </c>
      <c r="J32" s="80">
        <f t="shared" si="3"/>
        <v>4</v>
      </c>
      <c r="K32" s="81">
        <f t="shared" si="4"/>
        <v>10</v>
      </c>
      <c r="L32" s="64">
        <v>3</v>
      </c>
      <c r="M32" s="129" t="s">
        <v>37</v>
      </c>
      <c r="N32" s="83">
        <v>36775</v>
      </c>
      <c r="O32" s="75">
        <v>31572.257339</v>
      </c>
      <c r="P32" s="84">
        <f t="shared" si="12"/>
        <v>35924.910843999998</v>
      </c>
      <c r="Q32" s="78"/>
      <c r="R32" s="77">
        <f t="shared" si="5"/>
        <v>113.78632341129227</v>
      </c>
      <c r="S32" s="78"/>
      <c r="T32" s="84">
        <f t="shared" si="13"/>
        <v>218.141729</v>
      </c>
      <c r="U32" s="85">
        <f t="shared" si="6"/>
        <v>97.688404742352134</v>
      </c>
      <c r="V32" s="86">
        <f t="shared" si="7"/>
        <v>29.306521422705639</v>
      </c>
      <c r="W32" s="78" t="str">
        <f t="shared" si="8"/>
        <v/>
      </c>
      <c r="X32" s="78" t="str">
        <f t="shared" si="18"/>
        <v>0</v>
      </c>
      <c r="Y32" s="87">
        <f t="shared" si="9"/>
        <v>5.8613042845411281</v>
      </c>
      <c r="Z32" s="88">
        <f t="shared" si="10"/>
        <v>29.306521422705639</v>
      </c>
      <c r="AC32" s="93" t="s">
        <v>22</v>
      </c>
      <c r="AD32" s="4">
        <v>181790304091</v>
      </c>
      <c r="AE32" s="4">
        <v>48385883057</v>
      </c>
      <c r="AF32" s="4">
        <v>0</v>
      </c>
      <c r="AG32" s="4">
        <v>379755</v>
      </c>
      <c r="AH32" s="5">
        <v>230176566903</v>
      </c>
      <c r="AI32" s="4">
        <v>181061642223</v>
      </c>
      <c r="AJ32" s="4">
        <v>46714681146</v>
      </c>
      <c r="AK32" s="4">
        <v>0</v>
      </c>
      <c r="AL32" s="4">
        <v>752915</v>
      </c>
      <c r="AM32" s="6">
        <v>227777076284</v>
      </c>
      <c r="AN32" s="7">
        <f t="shared" si="14"/>
        <v>46715434061</v>
      </c>
      <c r="AO32" s="7">
        <f t="shared" si="15"/>
        <v>48386262812</v>
      </c>
      <c r="AP32" s="44" t="s">
        <v>135</v>
      </c>
      <c r="AQ32" s="44" t="s">
        <v>136</v>
      </c>
      <c r="AR32" s="44" t="s">
        <v>139</v>
      </c>
    </row>
    <row r="33" spans="1:44" ht="17.25" thickBot="1">
      <c r="A33" s="479"/>
      <c r="B33" s="130">
        <v>3</v>
      </c>
      <c r="C33" s="131" t="s">
        <v>35</v>
      </c>
      <c r="D33" s="96">
        <v>101621</v>
      </c>
      <c r="E33" s="96">
        <v>103357.19198600001</v>
      </c>
      <c r="F33" s="97">
        <f t="shared" si="16"/>
        <v>104576.84850199999</v>
      </c>
      <c r="G33" s="98">
        <f t="shared" si="1"/>
        <v>101.18004029769423</v>
      </c>
      <c r="H33" s="99"/>
      <c r="I33" s="100">
        <f t="shared" si="2"/>
        <v>102.90869849932592</v>
      </c>
      <c r="J33" s="101">
        <f t="shared" si="3"/>
        <v>4</v>
      </c>
      <c r="K33" s="102">
        <f t="shared" si="4"/>
        <v>10</v>
      </c>
      <c r="L33" s="64">
        <v>3</v>
      </c>
      <c r="M33" s="132" t="s">
        <v>24</v>
      </c>
      <c r="N33" s="104">
        <v>37380</v>
      </c>
      <c r="O33" s="105">
        <v>32854.045244000001</v>
      </c>
      <c r="P33" s="106">
        <f t="shared" si="12"/>
        <v>36064.520407999997</v>
      </c>
      <c r="Q33" s="99"/>
      <c r="R33" s="98">
        <f t="shared" si="5"/>
        <v>109.77193261942777</v>
      </c>
      <c r="S33" s="99"/>
      <c r="T33" s="133">
        <f t="shared" si="13"/>
        <v>138.35358400000001</v>
      </c>
      <c r="U33" s="108">
        <f t="shared" si="6"/>
        <v>96.480792958801487</v>
      </c>
      <c r="V33" s="109">
        <f t="shared" si="7"/>
        <v>28.944237887640444</v>
      </c>
      <c r="W33" s="99" t="str">
        <f t="shared" si="8"/>
        <v/>
      </c>
      <c r="X33" s="99" t="str">
        <f t="shared" si="18"/>
        <v>0</v>
      </c>
      <c r="Y33" s="110">
        <f t="shared" si="9"/>
        <v>5.788847577528089</v>
      </c>
      <c r="Z33" s="111">
        <f t="shared" si="10"/>
        <v>28.944237887640444</v>
      </c>
      <c r="AC33" s="134" t="s">
        <v>7</v>
      </c>
      <c r="AD33" s="4">
        <v>184332815077</v>
      </c>
      <c r="AE33" s="4">
        <v>61104311612</v>
      </c>
      <c r="AF33" s="4">
        <v>0</v>
      </c>
      <c r="AG33" s="4">
        <v>0</v>
      </c>
      <c r="AH33" s="5">
        <v>245437126689</v>
      </c>
      <c r="AI33" s="4">
        <v>193180854011</v>
      </c>
      <c r="AJ33" s="4">
        <v>71117475709</v>
      </c>
      <c r="AK33" s="4">
        <v>13606655</v>
      </c>
      <c r="AL33" s="4">
        <v>0</v>
      </c>
      <c r="AM33" s="6">
        <v>264311936375</v>
      </c>
      <c r="AN33" s="8">
        <f t="shared" si="14"/>
        <v>71131082364</v>
      </c>
      <c r="AO33" s="8">
        <f t="shared" si="15"/>
        <v>61104311612</v>
      </c>
      <c r="AP33" s="9">
        <f>AN33+AN37</f>
        <v>125326663958</v>
      </c>
      <c r="AQ33" s="9">
        <f>AO33+AO37</f>
        <v>122606396020</v>
      </c>
      <c r="AR33" s="9">
        <f>AM33+AM37</f>
        <v>473779451897</v>
      </c>
    </row>
    <row r="34" spans="1:44">
      <c r="A34" s="470" t="s">
        <v>140</v>
      </c>
      <c r="B34" s="135">
        <v>4</v>
      </c>
      <c r="C34" s="136" t="s">
        <v>38</v>
      </c>
      <c r="D34" s="57">
        <v>72426</v>
      </c>
      <c r="E34" s="57">
        <v>74430.712794000006</v>
      </c>
      <c r="F34" s="58">
        <f t="shared" si="16"/>
        <v>81576.918160999994</v>
      </c>
      <c r="G34" s="59">
        <f t="shared" si="1"/>
        <v>109.60115132415613</v>
      </c>
      <c r="H34" s="60"/>
      <c r="I34" s="61">
        <f t="shared" si="2"/>
        <v>112.63485234722337</v>
      </c>
      <c r="J34" s="62">
        <f t="shared" si="3"/>
        <v>4</v>
      </c>
      <c r="K34" s="63">
        <f t="shared" si="4"/>
        <v>10</v>
      </c>
      <c r="L34" s="64">
        <v>4</v>
      </c>
      <c r="M34" s="137" t="s">
        <v>34</v>
      </c>
      <c r="N34" s="66">
        <v>30447</v>
      </c>
      <c r="O34" s="57">
        <v>26272.659073999999</v>
      </c>
      <c r="P34" s="67">
        <f t="shared" si="12"/>
        <v>31980.410363999999</v>
      </c>
      <c r="Q34" s="60"/>
      <c r="R34" s="59">
        <f t="shared" si="5"/>
        <v>121.7250613039337</v>
      </c>
      <c r="S34" s="60"/>
      <c r="T34" s="67">
        <f t="shared" si="13"/>
        <v>813.07770100000005</v>
      </c>
      <c r="U34" s="68">
        <f t="shared" si="6"/>
        <v>105.03632661345944</v>
      </c>
      <c r="V34" s="116">
        <f t="shared" si="7"/>
        <v>30</v>
      </c>
      <c r="W34" s="60" t="str">
        <f t="shared" si="8"/>
        <v>0</v>
      </c>
      <c r="X34" s="60">
        <f>COUNTIF(W34:W39,"0")*0.01</f>
        <v>0.06</v>
      </c>
      <c r="Y34" s="71">
        <f t="shared" si="9"/>
        <v>6.0297000000000001</v>
      </c>
      <c r="Z34" s="117">
        <f t="shared" si="10"/>
        <v>30.06</v>
      </c>
      <c r="AC34" s="93" t="s">
        <v>18</v>
      </c>
      <c r="AD34" s="4">
        <v>245234588546</v>
      </c>
      <c r="AE34" s="4">
        <v>94945147191</v>
      </c>
      <c r="AF34" s="4">
        <v>0</v>
      </c>
      <c r="AG34" s="4">
        <v>0</v>
      </c>
      <c r="AH34" s="5">
        <v>340179735737</v>
      </c>
      <c r="AI34" s="4">
        <v>243518053127</v>
      </c>
      <c r="AJ34" s="4">
        <v>90133833431</v>
      </c>
      <c r="AK34" s="4">
        <v>0</v>
      </c>
      <c r="AL34" s="4">
        <v>0</v>
      </c>
      <c r="AM34" s="6">
        <v>333651886558</v>
      </c>
      <c r="AN34" s="7">
        <f t="shared" si="14"/>
        <v>90133833431</v>
      </c>
      <c r="AO34" s="7">
        <f t="shared" si="15"/>
        <v>94945147191</v>
      </c>
      <c r="AQ34" s="138">
        <f>AQ33/1000000</f>
        <v>122606.39602</v>
      </c>
    </row>
    <row r="35" spans="1:44">
      <c r="A35" s="471"/>
      <c r="B35" s="139">
        <v>4</v>
      </c>
      <c r="C35" s="140" t="s">
        <v>34</v>
      </c>
      <c r="D35" s="75">
        <v>111388</v>
      </c>
      <c r="E35" s="75">
        <v>114118.16469200001</v>
      </c>
      <c r="F35" s="76">
        <f t="shared" si="16"/>
        <v>122640.760498</v>
      </c>
      <c r="G35" s="141">
        <f t="shared" si="1"/>
        <v>107.46822018124995</v>
      </c>
      <c r="H35" s="78"/>
      <c r="I35" s="142">
        <f t="shared" si="2"/>
        <v>110.10230949294358</v>
      </c>
      <c r="J35" s="143">
        <f t="shared" si="3"/>
        <v>4</v>
      </c>
      <c r="K35" s="144">
        <f t="shared" si="4"/>
        <v>10</v>
      </c>
      <c r="L35" s="64">
        <v>4</v>
      </c>
      <c r="M35" s="145" t="s">
        <v>32</v>
      </c>
      <c r="N35" s="83">
        <v>26497</v>
      </c>
      <c r="O35" s="75">
        <v>23468.710037000001</v>
      </c>
      <c r="P35" s="84">
        <f t="shared" si="12"/>
        <v>27739.406860999999</v>
      </c>
      <c r="Q35" s="78"/>
      <c r="R35" s="77">
        <f t="shared" si="5"/>
        <v>118.19740760044741</v>
      </c>
      <c r="S35" s="78"/>
      <c r="T35" s="84">
        <f t="shared" si="13"/>
        <v>111.848975</v>
      </c>
      <c r="U35" s="85">
        <f t="shared" si="6"/>
        <v>104.68885859153865</v>
      </c>
      <c r="V35" s="86">
        <f t="shared" si="7"/>
        <v>30</v>
      </c>
      <c r="W35" s="78" t="str">
        <f t="shared" si="8"/>
        <v>0</v>
      </c>
      <c r="X35" s="78">
        <f>IF(X34-0.01&lt;0,"0",X34-0.01)</f>
        <v>4.9999999999999996E-2</v>
      </c>
      <c r="Y35" s="87">
        <f t="shared" si="9"/>
        <v>6.0263999999999998</v>
      </c>
      <c r="Z35" s="88">
        <f t="shared" si="10"/>
        <v>30.05</v>
      </c>
      <c r="AC35" s="93" t="s">
        <v>12</v>
      </c>
      <c r="AD35" s="4">
        <v>106174614217</v>
      </c>
      <c r="AE35" s="4">
        <v>32960881722</v>
      </c>
      <c r="AF35" s="4">
        <v>0</v>
      </c>
      <c r="AG35" s="4">
        <v>0</v>
      </c>
      <c r="AH35" s="5">
        <v>139135495939</v>
      </c>
      <c r="AI35" s="4">
        <v>102366150925</v>
      </c>
      <c r="AJ35" s="4">
        <v>33721867566</v>
      </c>
      <c r="AK35" s="4">
        <v>0</v>
      </c>
      <c r="AL35" s="4">
        <v>0</v>
      </c>
      <c r="AM35" s="6">
        <v>136088018491</v>
      </c>
      <c r="AN35" s="7">
        <f t="shared" si="14"/>
        <v>33721867566</v>
      </c>
      <c r="AO35" s="7">
        <f t="shared" si="15"/>
        <v>32960881722</v>
      </c>
    </row>
    <row r="36" spans="1:44">
      <c r="A36" s="471"/>
      <c r="B36" s="139">
        <v>4</v>
      </c>
      <c r="C36" s="140" t="s">
        <v>40</v>
      </c>
      <c r="D36" s="75">
        <v>102733</v>
      </c>
      <c r="E36" s="75">
        <v>106105.111741</v>
      </c>
      <c r="F36" s="76">
        <f t="shared" si="16"/>
        <v>110664.40233300001</v>
      </c>
      <c r="G36" s="141">
        <f t="shared" si="1"/>
        <v>104.29695659067691</v>
      </c>
      <c r="H36" s="78"/>
      <c r="I36" s="142">
        <f t="shared" si="2"/>
        <v>107.72040369988223</v>
      </c>
      <c r="J36" s="143">
        <f t="shared" si="3"/>
        <v>4</v>
      </c>
      <c r="K36" s="144">
        <f t="shared" si="4"/>
        <v>10</v>
      </c>
      <c r="L36" s="64">
        <v>4</v>
      </c>
      <c r="M36" s="145" t="s">
        <v>40</v>
      </c>
      <c r="N36" s="83">
        <v>21628</v>
      </c>
      <c r="O36" s="75">
        <v>19022.278429000002</v>
      </c>
      <c r="P36" s="84">
        <f t="shared" si="12"/>
        <v>22470.306073</v>
      </c>
      <c r="Q36" s="78"/>
      <c r="R36" s="77">
        <f t="shared" si="5"/>
        <v>118.12625998967286</v>
      </c>
      <c r="S36" s="78"/>
      <c r="T36" s="84">
        <f t="shared" si="13"/>
        <v>-282.86070799999999</v>
      </c>
      <c r="U36" s="85">
        <f t="shared" si="6"/>
        <v>103.89451670519696</v>
      </c>
      <c r="V36" s="86">
        <f t="shared" si="7"/>
        <v>30</v>
      </c>
      <c r="W36" s="78" t="str">
        <f t="shared" si="8"/>
        <v>0</v>
      </c>
      <c r="X36" s="78">
        <f>IF(X35-0.01&lt;0,"0",X35-0.01)</f>
        <v>3.9999999999999994E-2</v>
      </c>
      <c r="Y36" s="87">
        <f t="shared" si="9"/>
        <v>6.0231000000000003</v>
      </c>
      <c r="Z36" s="88">
        <f t="shared" si="10"/>
        <v>30.04</v>
      </c>
      <c r="AC36" s="93" t="s">
        <v>11</v>
      </c>
      <c r="AD36" s="4">
        <v>245613050089</v>
      </c>
      <c r="AE36" s="4">
        <v>58202730484</v>
      </c>
      <c r="AF36" s="4">
        <v>27994704</v>
      </c>
      <c r="AG36" s="4">
        <v>0</v>
      </c>
      <c r="AH36" s="5">
        <v>303843775277</v>
      </c>
      <c r="AI36" s="4">
        <v>244799904760</v>
      </c>
      <c r="AJ36" s="4">
        <v>57878511786</v>
      </c>
      <c r="AK36" s="4">
        <v>64962785</v>
      </c>
      <c r="AL36" s="4">
        <v>0</v>
      </c>
      <c r="AM36" s="6">
        <v>302743379331</v>
      </c>
      <c r="AN36" s="7">
        <f t="shared" si="14"/>
        <v>57943474571</v>
      </c>
      <c r="AO36" s="7">
        <f t="shared" si="15"/>
        <v>58230725188</v>
      </c>
    </row>
    <row r="37" spans="1:44">
      <c r="A37" s="471"/>
      <c r="B37" s="139">
        <v>4</v>
      </c>
      <c r="C37" s="140" t="s">
        <v>43</v>
      </c>
      <c r="D37" s="75">
        <v>138961</v>
      </c>
      <c r="E37" s="75">
        <v>145495.31521100001</v>
      </c>
      <c r="F37" s="76">
        <f t="shared" si="16"/>
        <v>147439.475661</v>
      </c>
      <c r="G37" s="141">
        <f t="shared" si="1"/>
        <v>101.33623577307664</v>
      </c>
      <c r="H37" s="78"/>
      <c r="I37" s="142">
        <f t="shared" si="2"/>
        <v>106.101334662963</v>
      </c>
      <c r="J37" s="143">
        <f t="shared" si="3"/>
        <v>4</v>
      </c>
      <c r="K37" s="144">
        <f t="shared" si="4"/>
        <v>10</v>
      </c>
      <c r="L37" s="64">
        <v>4</v>
      </c>
      <c r="M37" s="145" t="s">
        <v>30</v>
      </c>
      <c r="N37" s="83">
        <v>35182</v>
      </c>
      <c r="O37" s="75">
        <v>31631.938561999999</v>
      </c>
      <c r="P37" s="84">
        <f t="shared" si="12"/>
        <v>36382.531730000002</v>
      </c>
      <c r="Q37" s="78"/>
      <c r="R37" s="77">
        <f t="shared" si="5"/>
        <v>115.0183434337691</v>
      </c>
      <c r="S37" s="78"/>
      <c r="T37" s="84">
        <f t="shared" si="13"/>
        <v>401.62835799999999</v>
      </c>
      <c r="U37" s="85">
        <f t="shared" si="6"/>
        <v>103.41234645557388</v>
      </c>
      <c r="V37" s="86">
        <f t="shared" si="7"/>
        <v>30</v>
      </c>
      <c r="W37" s="78" t="str">
        <f t="shared" si="8"/>
        <v>0</v>
      </c>
      <c r="X37" s="78">
        <f>IF(X36-0.01&lt;0,"0",X36-0.01)</f>
        <v>2.9999999999999992E-2</v>
      </c>
      <c r="Y37" s="87">
        <f t="shared" si="9"/>
        <v>6.0164999999999997</v>
      </c>
      <c r="Z37" s="88">
        <f t="shared" si="10"/>
        <v>30.03</v>
      </c>
      <c r="AC37" s="134" t="s">
        <v>63</v>
      </c>
      <c r="AD37" s="4">
        <v>171462666473</v>
      </c>
      <c r="AE37" s="4">
        <v>61486821638</v>
      </c>
      <c r="AF37" s="4">
        <v>15262770</v>
      </c>
      <c r="AG37" s="4">
        <v>0</v>
      </c>
      <c r="AH37" s="5">
        <v>232964750881</v>
      </c>
      <c r="AI37" s="4">
        <v>155271933928</v>
      </c>
      <c r="AJ37" s="4">
        <v>54187813483</v>
      </c>
      <c r="AK37" s="4">
        <v>7768111</v>
      </c>
      <c r="AL37" s="4">
        <v>0</v>
      </c>
      <c r="AM37" s="6">
        <v>209467515522</v>
      </c>
      <c r="AN37" s="8">
        <f t="shared" si="14"/>
        <v>54195581594</v>
      </c>
      <c r="AO37" s="8">
        <f t="shared" si="15"/>
        <v>61502084408</v>
      </c>
    </row>
    <row r="38" spans="1:44">
      <c r="A38" s="471"/>
      <c r="B38" s="139">
        <v>4</v>
      </c>
      <c r="C38" s="140" t="s">
        <v>30</v>
      </c>
      <c r="D38" s="75">
        <v>110239</v>
      </c>
      <c r="E38" s="75">
        <v>117489.619918</v>
      </c>
      <c r="F38" s="76">
        <f t="shared" si="16"/>
        <v>116593.267804</v>
      </c>
      <c r="G38" s="141">
        <f t="shared" si="1"/>
        <v>99.237079739788427</v>
      </c>
      <c r="H38" s="78"/>
      <c r="I38" s="142">
        <f t="shared" si="2"/>
        <v>105.76408331352788</v>
      </c>
      <c r="J38" s="143">
        <f t="shared" si="3"/>
        <v>4</v>
      </c>
      <c r="K38" s="144">
        <f t="shared" si="4"/>
        <v>10</v>
      </c>
      <c r="L38" s="64">
        <v>4</v>
      </c>
      <c r="M38" s="145" t="s">
        <v>43</v>
      </c>
      <c r="N38" s="83">
        <v>26692</v>
      </c>
      <c r="O38" s="75">
        <v>23724.785357000001</v>
      </c>
      <c r="P38" s="84">
        <f t="shared" si="12"/>
        <v>27137.878205000001</v>
      </c>
      <c r="Q38" s="78"/>
      <c r="R38" s="77">
        <f t="shared" si="5"/>
        <v>114.38619062993109</v>
      </c>
      <c r="S38" s="78"/>
      <c r="T38" s="84">
        <f t="shared" si="13"/>
        <v>447.98816199999999</v>
      </c>
      <c r="U38" s="85">
        <f t="shared" si="6"/>
        <v>101.67045633523152</v>
      </c>
      <c r="V38" s="86">
        <f t="shared" si="7"/>
        <v>30</v>
      </c>
      <c r="W38" s="78" t="str">
        <f t="shared" si="8"/>
        <v>0</v>
      </c>
      <c r="X38" s="78">
        <f>IF(X37-0.01&lt;0,"0",X37-0.01)</f>
        <v>1.999999999999999E-2</v>
      </c>
      <c r="Y38" s="87">
        <f t="shared" si="9"/>
        <v>6.0099</v>
      </c>
      <c r="Z38" s="88">
        <f t="shared" si="10"/>
        <v>30.02</v>
      </c>
      <c r="AC38" s="93" t="s">
        <v>13</v>
      </c>
      <c r="AD38" s="4">
        <v>216698142546</v>
      </c>
      <c r="AE38" s="4">
        <v>48980167101</v>
      </c>
      <c r="AF38" s="4">
        <v>18887740</v>
      </c>
      <c r="AG38" s="4">
        <v>0</v>
      </c>
      <c r="AH38" s="5">
        <v>265697197387</v>
      </c>
      <c r="AI38" s="4">
        <v>223204685194</v>
      </c>
      <c r="AJ38" s="4">
        <v>44588905779</v>
      </c>
      <c r="AK38" s="4">
        <v>45369628</v>
      </c>
      <c r="AL38" s="4">
        <v>0</v>
      </c>
      <c r="AM38" s="6">
        <v>267838960601</v>
      </c>
      <c r="AN38" s="7">
        <f t="shared" si="14"/>
        <v>44634275407</v>
      </c>
      <c r="AO38" s="7">
        <f t="shared" si="15"/>
        <v>48999054841</v>
      </c>
    </row>
    <row r="39" spans="1:44" ht="17.25" thickBot="1">
      <c r="A39" s="472"/>
      <c r="B39" s="146">
        <v>4</v>
      </c>
      <c r="C39" s="147" t="s">
        <v>32</v>
      </c>
      <c r="D39" s="96">
        <v>120659</v>
      </c>
      <c r="E39" s="96">
        <v>124561.56495</v>
      </c>
      <c r="F39" s="97">
        <f t="shared" si="16"/>
        <v>127345.27978700001</v>
      </c>
      <c r="G39" s="148">
        <f t="shared" si="1"/>
        <v>102.23481042335764</v>
      </c>
      <c r="H39" s="99"/>
      <c r="I39" s="149">
        <f t="shared" si="2"/>
        <v>105.54146792779653</v>
      </c>
      <c r="J39" s="150">
        <f t="shared" si="3"/>
        <v>4</v>
      </c>
      <c r="K39" s="151">
        <f t="shared" si="4"/>
        <v>10</v>
      </c>
      <c r="L39" s="64">
        <v>4</v>
      </c>
      <c r="M39" s="152" t="s">
        <v>38</v>
      </c>
      <c r="N39" s="104">
        <v>20863</v>
      </c>
      <c r="O39" s="105">
        <v>19195.938585</v>
      </c>
      <c r="P39" s="106">
        <f t="shared" si="12"/>
        <v>21076.52131</v>
      </c>
      <c r="Q39" s="99"/>
      <c r="R39" s="98">
        <f t="shared" si="5"/>
        <v>109.79677402421738</v>
      </c>
      <c r="S39" s="99"/>
      <c r="T39" s="107">
        <f t="shared" si="13"/>
        <v>-140.07621499999999</v>
      </c>
      <c r="U39" s="108">
        <f t="shared" si="6"/>
        <v>101.02344490245891</v>
      </c>
      <c r="V39" s="109">
        <f t="shared" si="7"/>
        <v>30</v>
      </c>
      <c r="W39" s="99" t="str">
        <f t="shared" si="8"/>
        <v>0</v>
      </c>
      <c r="X39" s="99">
        <f>IF(X38-0.01&lt;0,"0",X38-0.01)</f>
        <v>9.9999999999999898E-3</v>
      </c>
      <c r="Y39" s="110">
        <f t="shared" si="9"/>
        <v>6.0065999999999997</v>
      </c>
      <c r="Z39" s="111">
        <f t="shared" si="10"/>
        <v>30.01</v>
      </c>
      <c r="AC39" s="93" t="s">
        <v>14</v>
      </c>
      <c r="AD39" s="4">
        <v>379550773938</v>
      </c>
      <c r="AE39" s="4">
        <v>108847500987</v>
      </c>
      <c r="AF39" s="4">
        <v>3089143214</v>
      </c>
      <c r="AG39" s="4">
        <v>0</v>
      </c>
      <c r="AH39" s="5">
        <v>491487418139</v>
      </c>
      <c r="AI39" s="4">
        <v>376522080059</v>
      </c>
      <c r="AJ39" s="4">
        <v>86676190754</v>
      </c>
      <c r="AK39" s="4">
        <v>4402849618</v>
      </c>
      <c r="AL39" s="4">
        <v>0</v>
      </c>
      <c r="AM39" s="6">
        <v>467601120431</v>
      </c>
      <c r="AN39" s="7">
        <f t="shared" si="14"/>
        <v>91079040372</v>
      </c>
      <c r="AO39" s="7">
        <f t="shared" si="15"/>
        <v>111936644201</v>
      </c>
    </row>
    <row r="40" spans="1:44">
      <c r="A40" s="473" t="s">
        <v>141</v>
      </c>
      <c r="B40" s="153">
        <v>5</v>
      </c>
      <c r="C40" s="154" t="s">
        <v>41</v>
      </c>
      <c r="D40" s="57">
        <v>33147</v>
      </c>
      <c r="E40" s="57">
        <v>33637.785796999997</v>
      </c>
      <c r="F40" s="58">
        <f t="shared" si="16"/>
        <v>36264.0933</v>
      </c>
      <c r="G40" s="59">
        <f t="shared" si="1"/>
        <v>107.80761111581319</v>
      </c>
      <c r="H40" s="60"/>
      <c r="I40" s="61">
        <f t="shared" si="2"/>
        <v>109.40384740700514</v>
      </c>
      <c r="J40" s="62">
        <f t="shared" si="3"/>
        <v>4</v>
      </c>
      <c r="K40" s="63">
        <f t="shared" si="4"/>
        <v>10</v>
      </c>
      <c r="L40" s="155">
        <v>5</v>
      </c>
      <c r="M40" s="156" t="s">
        <v>36</v>
      </c>
      <c r="N40" s="157">
        <v>21185</v>
      </c>
      <c r="O40" s="158">
        <v>19127.389554000001</v>
      </c>
      <c r="P40" s="67">
        <f t="shared" si="12"/>
        <v>21922.311899</v>
      </c>
      <c r="Q40" s="159"/>
      <c r="R40" s="77">
        <f t="shared" si="5"/>
        <v>114.61214734561368</v>
      </c>
      <c r="S40" s="159"/>
      <c r="T40" s="106">
        <f t="shared" si="13"/>
        <v>103.384243</v>
      </c>
      <c r="U40" s="85">
        <f t="shared" si="6"/>
        <v>103.48034882700024</v>
      </c>
      <c r="V40" s="160">
        <f t="shared" si="7"/>
        <v>30</v>
      </c>
      <c r="W40" s="159" t="str">
        <f t="shared" si="8"/>
        <v>0</v>
      </c>
      <c r="X40" s="159">
        <f>COUNTIF(W40:W45,"0")*0.01</f>
        <v>0.03</v>
      </c>
      <c r="Y40" s="71">
        <f t="shared" si="9"/>
        <v>6.0198</v>
      </c>
      <c r="Z40" s="161">
        <f t="shared" si="10"/>
        <v>30.03</v>
      </c>
      <c r="AC40" s="93" t="s">
        <v>16</v>
      </c>
      <c r="AD40" s="4">
        <v>828113078027</v>
      </c>
      <c r="AE40" s="4">
        <v>74952451663</v>
      </c>
      <c r="AF40" s="4">
        <v>0</v>
      </c>
      <c r="AG40" s="4">
        <v>0</v>
      </c>
      <c r="AH40" s="5">
        <v>903065529690</v>
      </c>
      <c r="AI40" s="4">
        <v>757107583634</v>
      </c>
      <c r="AJ40" s="4">
        <v>79192346215</v>
      </c>
      <c r="AK40" s="4">
        <v>0</v>
      </c>
      <c r="AL40" s="4">
        <v>0</v>
      </c>
      <c r="AM40" s="6">
        <v>836299929849</v>
      </c>
      <c r="AN40" s="7">
        <f t="shared" si="14"/>
        <v>79192346215</v>
      </c>
      <c r="AO40" s="7">
        <f t="shared" si="15"/>
        <v>74952451663</v>
      </c>
    </row>
    <row r="41" spans="1:44">
      <c r="A41" s="474"/>
      <c r="B41" s="162">
        <v>5</v>
      </c>
      <c r="C41" s="156" t="s">
        <v>39</v>
      </c>
      <c r="D41" s="75">
        <v>64326</v>
      </c>
      <c r="E41" s="75">
        <v>65387.163312999997</v>
      </c>
      <c r="F41" s="76">
        <f t="shared" si="16"/>
        <v>68237.133814000001</v>
      </c>
      <c r="G41" s="77">
        <f t="shared" si="1"/>
        <v>104.35860856565617</v>
      </c>
      <c r="H41" s="159"/>
      <c r="I41" s="79">
        <f t="shared" si="2"/>
        <v>106.08017568945684</v>
      </c>
      <c r="J41" s="80">
        <f t="shared" si="3"/>
        <v>4</v>
      </c>
      <c r="K41" s="81">
        <f t="shared" si="4"/>
        <v>10</v>
      </c>
      <c r="L41" s="155">
        <v>5</v>
      </c>
      <c r="M41" s="156" t="s">
        <v>39</v>
      </c>
      <c r="N41" s="83">
        <v>18598</v>
      </c>
      <c r="O41" s="75">
        <v>16437.426132000001</v>
      </c>
      <c r="P41" s="84">
        <f t="shared" si="12"/>
        <v>19006.836189000001</v>
      </c>
      <c r="Q41" s="78"/>
      <c r="R41" s="77">
        <f t="shared" si="5"/>
        <v>115.63146222751951</v>
      </c>
      <c r="S41" s="78"/>
      <c r="T41" s="84">
        <f t="shared" si="13"/>
        <v>43.758876999999998</v>
      </c>
      <c r="U41" s="85">
        <f t="shared" si="6"/>
        <v>102.19828040111841</v>
      </c>
      <c r="V41" s="86">
        <f t="shared" si="7"/>
        <v>30</v>
      </c>
      <c r="W41" s="78" t="str">
        <f t="shared" si="8"/>
        <v>0</v>
      </c>
      <c r="X41" s="78">
        <f>IF(X40-0.01&lt;0,"0",X40-0.01)</f>
        <v>1.9999999999999997E-2</v>
      </c>
      <c r="Y41" s="87">
        <f t="shared" si="9"/>
        <v>6.0132000000000003</v>
      </c>
      <c r="Z41" s="88">
        <f t="shared" si="10"/>
        <v>30.02</v>
      </c>
      <c r="AC41" s="93" t="s">
        <v>19</v>
      </c>
      <c r="AD41" s="4">
        <v>268448514772</v>
      </c>
      <c r="AE41" s="4">
        <v>52103653732</v>
      </c>
      <c r="AF41" s="4">
        <v>0</v>
      </c>
      <c r="AG41" s="4">
        <v>0</v>
      </c>
      <c r="AH41" s="5">
        <v>320552168504</v>
      </c>
      <c r="AI41" s="4">
        <v>265578002141</v>
      </c>
      <c r="AJ41" s="4">
        <v>54529498099</v>
      </c>
      <c r="AK41" s="4">
        <v>0</v>
      </c>
      <c r="AL41" s="4">
        <v>0</v>
      </c>
      <c r="AM41" s="6">
        <v>320107500240</v>
      </c>
      <c r="AN41" s="7">
        <f t="shared" si="14"/>
        <v>54529498099</v>
      </c>
      <c r="AO41" s="7">
        <f t="shared" si="15"/>
        <v>52103653732</v>
      </c>
    </row>
    <row r="42" spans="1:44">
      <c r="A42" s="474"/>
      <c r="B42" s="163">
        <v>5</v>
      </c>
      <c r="C42" s="164" t="s">
        <v>33</v>
      </c>
      <c r="D42" s="75">
        <v>63569</v>
      </c>
      <c r="E42" s="75">
        <v>65381.801897999998</v>
      </c>
      <c r="F42" s="76">
        <f t="shared" si="16"/>
        <v>66443.908641999995</v>
      </c>
      <c r="G42" s="77">
        <f t="shared" si="1"/>
        <v>101.62446845019191</v>
      </c>
      <c r="H42" s="78"/>
      <c r="I42" s="79">
        <f t="shared" si="2"/>
        <v>104.52250097059886</v>
      </c>
      <c r="J42" s="80">
        <f t="shared" si="3"/>
        <v>4</v>
      </c>
      <c r="K42" s="81">
        <f t="shared" si="4"/>
        <v>10</v>
      </c>
      <c r="L42" s="155">
        <v>5</v>
      </c>
      <c r="M42" s="164" t="s">
        <v>42</v>
      </c>
      <c r="N42" s="83">
        <v>20444</v>
      </c>
      <c r="O42" s="75">
        <v>19163.534223999999</v>
      </c>
      <c r="P42" s="84">
        <f t="shared" si="12"/>
        <v>20602.014917</v>
      </c>
      <c r="Q42" s="78"/>
      <c r="R42" s="77">
        <f t="shared" si="5"/>
        <v>107.50634343428405</v>
      </c>
      <c r="S42" s="78"/>
      <c r="T42" s="84">
        <f t="shared" si="13"/>
        <v>261.05126000000001</v>
      </c>
      <c r="U42" s="85">
        <f t="shared" si="6"/>
        <v>100.77291585306203</v>
      </c>
      <c r="V42" s="86">
        <f t="shared" si="7"/>
        <v>30</v>
      </c>
      <c r="W42" s="78" t="str">
        <f t="shared" si="8"/>
        <v>0</v>
      </c>
      <c r="X42" s="78">
        <f>IF(X41-0.01&lt;0,"0",X41-0.01)</f>
        <v>9.9999999999999967E-3</v>
      </c>
      <c r="Y42" s="87">
        <f t="shared" si="9"/>
        <v>6.0033000000000003</v>
      </c>
      <c r="Z42" s="88">
        <f t="shared" si="10"/>
        <v>30.01</v>
      </c>
      <c r="AC42" s="93" t="s">
        <v>5</v>
      </c>
      <c r="AD42" s="4">
        <v>189310585622</v>
      </c>
      <c r="AE42" s="4">
        <v>58465147926</v>
      </c>
      <c r="AF42" s="4">
        <v>22308229</v>
      </c>
      <c r="AG42" s="4">
        <v>0</v>
      </c>
      <c r="AH42" s="5">
        <v>247798041777</v>
      </c>
      <c r="AI42" s="4">
        <v>185155988802</v>
      </c>
      <c r="AJ42" s="4">
        <v>57012607971</v>
      </c>
      <c r="AK42" s="4">
        <v>41055907</v>
      </c>
      <c r="AL42" s="4">
        <v>0</v>
      </c>
      <c r="AM42" s="6">
        <v>242209652680</v>
      </c>
      <c r="AN42" s="7">
        <f t="shared" si="14"/>
        <v>57053663878</v>
      </c>
      <c r="AO42" s="7">
        <f t="shared" si="15"/>
        <v>58487456155</v>
      </c>
    </row>
    <row r="43" spans="1:44">
      <c r="A43" s="474"/>
      <c r="B43" s="162">
        <v>5</v>
      </c>
      <c r="C43" s="164" t="s">
        <v>42</v>
      </c>
      <c r="D43" s="75">
        <v>98016</v>
      </c>
      <c r="E43" s="75">
        <v>103299.933781</v>
      </c>
      <c r="F43" s="76">
        <f t="shared" si="16"/>
        <v>101529.50420900001</v>
      </c>
      <c r="G43" s="77">
        <f t="shared" si="1"/>
        <v>98.286127098829141</v>
      </c>
      <c r="H43" s="78"/>
      <c r="I43" s="79">
        <f t="shared" si="2"/>
        <v>103.58462313193765</v>
      </c>
      <c r="J43" s="80">
        <f t="shared" si="3"/>
        <v>4</v>
      </c>
      <c r="K43" s="81">
        <f t="shared" si="4"/>
        <v>10</v>
      </c>
      <c r="L43" s="155">
        <v>5</v>
      </c>
      <c r="M43" s="164" t="s">
        <v>33</v>
      </c>
      <c r="N43" s="83">
        <v>20737</v>
      </c>
      <c r="O43" s="75">
        <v>18986.131118000001</v>
      </c>
      <c r="P43" s="84">
        <f t="shared" si="12"/>
        <v>20683.245212999998</v>
      </c>
      <c r="Q43" s="78"/>
      <c r="R43" s="77">
        <f t="shared" si="5"/>
        <v>108.93870417544431</v>
      </c>
      <c r="S43" s="78"/>
      <c r="T43" s="84">
        <f t="shared" si="13"/>
        <v>-408.91599200000002</v>
      </c>
      <c r="U43" s="85">
        <f t="shared" si="6"/>
        <v>99.740778381636673</v>
      </c>
      <c r="V43" s="86">
        <f t="shared" si="7"/>
        <v>29.922233514491001</v>
      </c>
      <c r="W43" s="78" t="str">
        <f t="shared" si="8"/>
        <v/>
      </c>
      <c r="X43" s="78" t="str">
        <f>IF(X42-0.01&lt;0,"0",X42-0.01)</f>
        <v>0</v>
      </c>
      <c r="Y43" s="87">
        <f t="shared" si="9"/>
        <v>5.9844467028982002</v>
      </c>
      <c r="Z43" s="88">
        <f t="shared" si="10"/>
        <v>29.922233514491001</v>
      </c>
      <c r="AC43" s="93" t="s">
        <v>17</v>
      </c>
      <c r="AD43" s="4">
        <v>367847165634</v>
      </c>
      <c r="AE43" s="4">
        <v>107639875759</v>
      </c>
      <c r="AF43" s="4">
        <v>0</v>
      </c>
      <c r="AG43" s="4">
        <v>500</v>
      </c>
      <c r="AH43" s="5">
        <v>475487041893</v>
      </c>
      <c r="AI43" s="4">
        <v>359251934335</v>
      </c>
      <c r="AJ43" s="4">
        <v>106884539686</v>
      </c>
      <c r="AK43" s="4">
        <v>0</v>
      </c>
      <c r="AL43" s="4">
        <v>351013</v>
      </c>
      <c r="AM43" s="6">
        <v>466136825034</v>
      </c>
      <c r="AN43" s="7">
        <f t="shared" si="14"/>
        <v>106884890699</v>
      </c>
      <c r="AO43" s="7">
        <f t="shared" si="15"/>
        <v>107639876259</v>
      </c>
    </row>
    <row r="44" spans="1:44">
      <c r="A44" s="474"/>
      <c r="B44" s="163">
        <v>5</v>
      </c>
      <c r="C44" s="164" t="s">
        <v>36</v>
      </c>
      <c r="D44" s="75">
        <v>94709</v>
      </c>
      <c r="E44" s="75">
        <v>101132.91598600001</v>
      </c>
      <c r="F44" s="76">
        <f t="shared" si="16"/>
        <v>96918.424627999993</v>
      </c>
      <c r="G44" s="77">
        <f t="shared" si="1"/>
        <v>95.832720418559433</v>
      </c>
      <c r="H44" s="78"/>
      <c r="I44" s="79">
        <f t="shared" si="2"/>
        <v>102.33285604113652</v>
      </c>
      <c r="J44" s="80">
        <f t="shared" si="3"/>
        <v>4</v>
      </c>
      <c r="K44" s="81">
        <f t="shared" si="4"/>
        <v>10</v>
      </c>
      <c r="L44" s="155">
        <v>5</v>
      </c>
      <c r="M44" s="164" t="s">
        <v>41</v>
      </c>
      <c r="N44" s="83">
        <v>7812</v>
      </c>
      <c r="O44" s="75">
        <v>6616.9259080000002</v>
      </c>
      <c r="P44" s="84">
        <f t="shared" si="12"/>
        <v>7433.8155489999999</v>
      </c>
      <c r="Q44" s="78"/>
      <c r="R44" s="77">
        <f t="shared" si="5"/>
        <v>112.34545546312319</v>
      </c>
      <c r="S44" s="78"/>
      <c r="T44" s="84">
        <f t="shared" si="13"/>
        <v>-25.973939999999999</v>
      </c>
      <c r="U44" s="85">
        <f t="shared" si="6"/>
        <v>95.158929198668702</v>
      </c>
      <c r="V44" s="86">
        <f t="shared" si="7"/>
        <v>28.547678759600611</v>
      </c>
      <c r="W44" s="78" t="str">
        <f t="shared" si="8"/>
        <v/>
      </c>
      <c r="X44" s="78" t="str">
        <f>IF(X43-0.01&lt;0,"0",X43-0.01)</f>
        <v>0</v>
      </c>
      <c r="Y44" s="87">
        <f t="shared" si="9"/>
        <v>5.7095357519201215</v>
      </c>
      <c r="Z44" s="88">
        <f t="shared" si="10"/>
        <v>28.547678759600611</v>
      </c>
      <c r="AC44" s="93" t="s">
        <v>20</v>
      </c>
      <c r="AD44" s="4">
        <v>217482180860</v>
      </c>
      <c r="AE44" s="4">
        <v>55467971820</v>
      </c>
      <c r="AF44" s="4">
        <v>0</v>
      </c>
      <c r="AG44" s="4">
        <v>0</v>
      </c>
      <c r="AH44" s="5">
        <v>272950152680</v>
      </c>
      <c r="AI44" s="4">
        <v>213701132994</v>
      </c>
      <c r="AJ44" s="4">
        <v>51221426966</v>
      </c>
      <c r="AK44" s="4">
        <v>0</v>
      </c>
      <c r="AL44" s="4">
        <v>0</v>
      </c>
      <c r="AM44" s="6">
        <v>264922559960</v>
      </c>
      <c r="AN44" s="7">
        <f t="shared" si="14"/>
        <v>51221426966</v>
      </c>
      <c r="AO44" s="7">
        <f t="shared" si="15"/>
        <v>55467971820</v>
      </c>
    </row>
    <row r="45" spans="1:44" ht="17.25" thickBot="1">
      <c r="A45" s="474"/>
      <c r="B45" s="165">
        <v>5</v>
      </c>
      <c r="C45" s="166" t="s">
        <v>31</v>
      </c>
      <c r="D45" s="158">
        <v>101589</v>
      </c>
      <c r="E45" s="158">
        <v>106020.89477499999</v>
      </c>
      <c r="F45" s="167">
        <f t="shared" si="16"/>
        <v>103938.275413</v>
      </c>
      <c r="G45" s="168">
        <f t="shared" si="1"/>
        <v>98.035651966133869</v>
      </c>
      <c r="H45" s="169"/>
      <c r="I45" s="170">
        <f t="shared" si="2"/>
        <v>102.31252932207227</v>
      </c>
      <c r="J45" s="171">
        <f t="shared" si="3"/>
        <v>4</v>
      </c>
      <c r="K45" s="172">
        <f t="shared" si="4"/>
        <v>10</v>
      </c>
      <c r="L45" s="155">
        <v>5</v>
      </c>
      <c r="M45" s="166" t="s">
        <v>31</v>
      </c>
      <c r="N45" s="157">
        <v>25162</v>
      </c>
      <c r="O45" s="158">
        <v>22220.114880000001</v>
      </c>
      <c r="P45" s="106">
        <f t="shared" si="12"/>
        <v>23543.679889999999</v>
      </c>
      <c r="Q45" s="169"/>
      <c r="R45" s="168">
        <f t="shared" si="5"/>
        <v>105.95660741246357</v>
      </c>
      <c r="S45" s="169"/>
      <c r="T45" s="173">
        <f t="shared" si="13"/>
        <v>31.351641000000001</v>
      </c>
      <c r="U45" s="174">
        <f t="shared" si="6"/>
        <v>93.568396351641354</v>
      </c>
      <c r="V45" s="175">
        <f t="shared" si="7"/>
        <v>28.070518905492406</v>
      </c>
      <c r="W45" s="176" t="str">
        <f t="shared" si="8"/>
        <v/>
      </c>
      <c r="X45" s="176" t="str">
        <f>IF(X44-0.01&lt;0,"0",X44-0.01)</f>
        <v>0</v>
      </c>
      <c r="Y45" s="110">
        <f t="shared" si="9"/>
        <v>5.6141037810984811</v>
      </c>
      <c r="Z45" s="177">
        <f t="shared" si="10"/>
        <v>28.070518905492406</v>
      </c>
      <c r="AC45" s="93" t="s">
        <v>6</v>
      </c>
      <c r="AD45" s="4">
        <v>141037941241</v>
      </c>
      <c r="AE45" s="4">
        <v>44114807589</v>
      </c>
      <c r="AF45" s="4">
        <v>28159162</v>
      </c>
      <c r="AG45" s="4">
        <v>0</v>
      </c>
      <c r="AH45" s="5">
        <v>185180907992</v>
      </c>
      <c r="AI45" s="4">
        <v>136331811708</v>
      </c>
      <c r="AJ45" s="4">
        <v>39430934787</v>
      </c>
      <c r="AK45" s="4">
        <v>49234418</v>
      </c>
      <c r="AL45" s="4">
        <v>0</v>
      </c>
      <c r="AM45" s="6">
        <v>175811980913</v>
      </c>
      <c r="AN45" s="7">
        <f t="shared" si="14"/>
        <v>39480169205</v>
      </c>
      <c r="AO45" s="7">
        <f t="shared" si="15"/>
        <v>44142966751</v>
      </c>
    </row>
    <row r="46" spans="1:44" ht="17.25" thickBot="1">
      <c r="A46" s="178"/>
      <c r="B46" s="179"/>
      <c r="C46" s="180" t="s">
        <v>142</v>
      </c>
      <c r="D46" s="181">
        <f>SUM(D6:D45)</f>
        <v>8705900</v>
      </c>
      <c r="E46" s="181">
        <f>SUM(E6:E45)</f>
        <v>8984412.7442699987</v>
      </c>
      <c r="F46" s="181">
        <f>SUM(F6:F45)</f>
        <v>9401811.5384640023</v>
      </c>
      <c r="G46" s="182">
        <f t="shared" si="1"/>
        <v>104.6458105395949</v>
      </c>
      <c r="H46" s="183"/>
      <c r="I46" s="182">
        <f t="shared" si="2"/>
        <v>107.99356227919</v>
      </c>
      <c r="J46" s="184"/>
      <c r="K46" s="185"/>
      <c r="L46" s="186"/>
      <c r="M46" s="187" t="s">
        <v>142</v>
      </c>
      <c r="N46" s="188">
        <f>SUM(N6:N45)</f>
        <v>1943900</v>
      </c>
      <c r="O46" s="188">
        <f>SUM(O6:O45)</f>
        <v>1793997.5175550005</v>
      </c>
      <c r="P46" s="188">
        <f>SUM(P6:P45)</f>
        <v>1989286.0571569998</v>
      </c>
      <c r="Q46" s="189"/>
      <c r="R46" s="190">
        <f t="shared" si="5"/>
        <v>110.88566387026856</v>
      </c>
      <c r="S46" s="189"/>
      <c r="T46" s="191">
        <f t="shared" si="13"/>
        <v>12511.177702000001</v>
      </c>
      <c r="U46" s="192">
        <f t="shared" si="6"/>
        <v>102.33479382463089</v>
      </c>
      <c r="V46" s="189"/>
      <c r="W46" s="189"/>
      <c r="X46" s="189"/>
      <c r="Y46" s="189"/>
      <c r="Z46" s="193"/>
      <c r="AC46" s="93" t="s">
        <v>23</v>
      </c>
      <c r="AD46" s="4">
        <v>271902559159</v>
      </c>
      <c r="AE46" s="4">
        <v>40418288747</v>
      </c>
      <c r="AF46" s="4">
        <v>16373860</v>
      </c>
      <c r="AG46" s="4">
        <v>0</v>
      </c>
      <c r="AH46" s="5">
        <v>312337221766</v>
      </c>
      <c r="AI46" s="4">
        <v>267768535963</v>
      </c>
      <c r="AJ46" s="4">
        <v>39559927987</v>
      </c>
      <c r="AK46" s="4">
        <v>39240197</v>
      </c>
      <c r="AL46" s="4">
        <v>0</v>
      </c>
      <c r="AM46" s="6">
        <v>307367704147</v>
      </c>
      <c r="AN46" s="7">
        <f t="shared" si="14"/>
        <v>39599168184</v>
      </c>
      <c r="AO46" s="7">
        <f t="shared" si="15"/>
        <v>40434662607</v>
      </c>
    </row>
    <row r="47" spans="1:44">
      <c r="AC47" s="93" t="s">
        <v>24</v>
      </c>
      <c r="AD47" s="4">
        <v>117164682776</v>
      </c>
      <c r="AE47" s="4">
        <v>35692956610</v>
      </c>
      <c r="AF47" s="4">
        <v>0</v>
      </c>
      <c r="AG47" s="4">
        <v>0</v>
      </c>
      <c r="AH47" s="5">
        <v>152857639386</v>
      </c>
      <c r="AI47" s="4">
        <v>117249741349</v>
      </c>
      <c r="AJ47" s="4">
        <v>36064520408</v>
      </c>
      <c r="AK47" s="4">
        <v>0</v>
      </c>
      <c r="AL47" s="4">
        <v>0</v>
      </c>
      <c r="AM47" s="6">
        <v>153314261757</v>
      </c>
      <c r="AN47" s="7">
        <f t="shared" si="14"/>
        <v>36064520408</v>
      </c>
      <c r="AO47" s="7">
        <f t="shared" si="15"/>
        <v>35692956610</v>
      </c>
    </row>
    <row r="48" spans="1:44" hidden="1">
      <c r="L48" s="194"/>
      <c r="M48" s="475" t="s">
        <v>130</v>
      </c>
      <c r="N48" s="475" t="s">
        <v>47</v>
      </c>
      <c r="O48" s="475"/>
      <c r="P48" s="475"/>
      <c r="Q48" s="475"/>
      <c r="R48" s="475"/>
      <c r="S48" s="475"/>
      <c r="T48" s="475"/>
      <c r="U48" s="475"/>
      <c r="V48" s="195"/>
      <c r="W48" s="195"/>
      <c r="X48" s="195"/>
      <c r="Z48" s="196"/>
      <c r="AA48" s="197"/>
      <c r="AB48" s="197"/>
      <c r="AC48" s="93" t="s">
        <v>27</v>
      </c>
      <c r="AD48" s="4">
        <v>172167240098</v>
      </c>
      <c r="AE48" s="4">
        <v>56145222614</v>
      </c>
      <c r="AF48" s="4">
        <v>0</v>
      </c>
      <c r="AG48" s="4">
        <v>0</v>
      </c>
      <c r="AH48" s="5">
        <v>228312462712</v>
      </c>
      <c r="AI48" s="4">
        <v>168978103414</v>
      </c>
      <c r="AJ48" s="4">
        <v>52454870233</v>
      </c>
      <c r="AK48" s="4">
        <v>0</v>
      </c>
      <c r="AL48" s="4">
        <v>0</v>
      </c>
      <c r="AM48" s="6">
        <v>221432973647</v>
      </c>
      <c r="AN48" s="7">
        <f t="shared" si="14"/>
        <v>52454870233</v>
      </c>
      <c r="AO48" s="7">
        <f t="shared" si="15"/>
        <v>56145222614</v>
      </c>
    </row>
    <row r="49" spans="12:41" ht="17.25" hidden="1" thickBot="1">
      <c r="L49" s="194"/>
      <c r="M49" s="476"/>
      <c r="N49" s="51" t="s">
        <v>1</v>
      </c>
      <c r="O49" s="51" t="s">
        <v>52</v>
      </c>
      <c r="P49" s="51" t="s">
        <v>3</v>
      </c>
      <c r="Q49" s="51" t="s">
        <v>143</v>
      </c>
      <c r="R49" s="51" t="s">
        <v>132</v>
      </c>
      <c r="S49" s="52" t="s">
        <v>144</v>
      </c>
      <c r="T49" s="51" t="s">
        <v>55</v>
      </c>
      <c r="U49" s="51"/>
      <c r="V49" s="198"/>
      <c r="W49" s="199"/>
      <c r="X49" s="199"/>
      <c r="Z49" s="196"/>
      <c r="AA49" s="197"/>
      <c r="AB49" s="197"/>
      <c r="AC49" s="197" t="s">
        <v>142</v>
      </c>
      <c r="AD49" s="5">
        <v>7532007645372</v>
      </c>
      <c r="AE49" s="5">
        <v>2078256039908</v>
      </c>
      <c r="AF49" s="5">
        <v>3659991582</v>
      </c>
      <c r="AG49" s="5">
        <v>380541</v>
      </c>
      <c r="AH49" s="5">
        <v>9613924057403</v>
      </c>
      <c r="AI49" s="5">
        <v>7412525481307</v>
      </c>
      <c r="AJ49" s="5">
        <v>1983984153985</v>
      </c>
      <c r="AK49" s="5">
        <v>5300798958</v>
      </c>
      <c r="AL49" s="5">
        <v>1104214</v>
      </c>
      <c r="AM49" s="6">
        <v>9401811538464</v>
      </c>
      <c r="AN49" s="7">
        <f t="shared" si="14"/>
        <v>1989286057157</v>
      </c>
      <c r="AO49" s="7">
        <f t="shared" si="15"/>
        <v>2081916412031</v>
      </c>
    </row>
    <row r="50" spans="12:41" hidden="1">
      <c r="L50" s="194">
        <v>1</v>
      </c>
      <c r="M50" s="200" t="s">
        <v>23</v>
      </c>
      <c r="N50" s="201">
        <v>35050</v>
      </c>
      <c r="O50" s="201">
        <f t="shared" ref="O50:O55" si="19">VLOOKUP(M50,$AC$8:$AO$49,12,FALSE)/1000000</f>
        <v>39599.168184000002</v>
      </c>
      <c r="P50" s="202">
        <f t="shared" ref="P50:P89" si="20">O50/N50%</f>
        <v>112.97908183737519</v>
      </c>
      <c r="Q50" s="203">
        <f t="shared" ref="Q50:Q89" si="21">IF(P50&gt;=100,6,P50*0.06)</f>
        <v>6</v>
      </c>
      <c r="R50" s="59" t="str">
        <f t="shared" ref="R50:R89" si="22">IF(P50&gt;100,"0","")</f>
        <v>0</v>
      </c>
      <c r="S50" s="60">
        <f>COUNTIF(R50:R77,"0")*0.0033</f>
        <v>6.6000000000000003E-2</v>
      </c>
      <c r="T50" s="204">
        <f t="shared" ref="T50:T89" si="23">Q50+S50</f>
        <v>6.0659999999999998</v>
      </c>
      <c r="U50" s="205"/>
      <c r="V50" s="206"/>
      <c r="W50" s="206"/>
      <c r="X50" s="206"/>
      <c r="AD50" s="5">
        <v>7532007645372</v>
      </c>
      <c r="AE50" s="5">
        <v>2078256039908</v>
      </c>
      <c r="AF50" s="5">
        <v>3659991582</v>
      </c>
      <c r="AG50" s="5">
        <v>380541</v>
      </c>
      <c r="AH50" s="5">
        <v>9613924057403</v>
      </c>
      <c r="AI50" s="5">
        <v>7412525481307</v>
      </c>
      <c r="AJ50" s="5">
        <v>1983984153985</v>
      </c>
      <c r="AK50" s="5">
        <v>5300798958</v>
      </c>
      <c r="AL50" s="5">
        <v>1104214</v>
      </c>
      <c r="AM50" s="6">
        <v>9401811538464</v>
      </c>
    </row>
    <row r="51" spans="12:41" hidden="1">
      <c r="L51" s="194">
        <v>1</v>
      </c>
      <c r="M51" s="207" t="s">
        <v>16</v>
      </c>
      <c r="N51" s="75">
        <v>70406</v>
      </c>
      <c r="O51" s="75">
        <f t="shared" si="19"/>
        <v>79192.346214999998</v>
      </c>
      <c r="P51" s="208">
        <f t="shared" si="20"/>
        <v>112.47954182171975</v>
      </c>
      <c r="Q51" s="209">
        <f t="shared" si="21"/>
        <v>6</v>
      </c>
      <c r="R51" s="141" t="str">
        <f t="shared" si="22"/>
        <v>0</v>
      </c>
      <c r="S51" s="78">
        <f t="shared" ref="S51:S77" si="24">IF(S50-0.0033&lt;0,"0",S50-0.0033)</f>
        <v>6.2700000000000006E-2</v>
      </c>
      <c r="T51" s="210">
        <f t="shared" si="23"/>
        <v>6.0627000000000004</v>
      </c>
      <c r="U51" s="211"/>
      <c r="V51" s="206"/>
      <c r="W51" s="206"/>
      <c r="X51" s="206"/>
    </row>
    <row r="52" spans="12:41" hidden="1">
      <c r="L52" s="194">
        <v>1</v>
      </c>
      <c r="M52" s="207" t="s">
        <v>14</v>
      </c>
      <c r="N52" s="75">
        <v>81033</v>
      </c>
      <c r="O52" s="75">
        <f t="shared" si="19"/>
        <v>91079.040372000003</v>
      </c>
      <c r="P52" s="208">
        <f t="shared" si="20"/>
        <v>112.39746815741735</v>
      </c>
      <c r="Q52" s="209">
        <f t="shared" si="21"/>
        <v>6</v>
      </c>
      <c r="R52" s="141" t="str">
        <f t="shared" si="22"/>
        <v>0</v>
      </c>
      <c r="S52" s="78">
        <f t="shared" si="24"/>
        <v>5.9400000000000008E-2</v>
      </c>
      <c r="T52" s="210">
        <f t="shared" si="23"/>
        <v>6.0594000000000001</v>
      </c>
      <c r="U52" s="211"/>
      <c r="V52" s="206"/>
      <c r="W52" s="206"/>
      <c r="X52" s="206"/>
      <c r="AC52" s="44" t="s">
        <v>145</v>
      </c>
    </row>
    <row r="53" spans="12:41" hidden="1">
      <c r="L53" s="194">
        <v>1</v>
      </c>
      <c r="M53" s="207" t="s">
        <v>19</v>
      </c>
      <c r="N53" s="75">
        <v>50574</v>
      </c>
      <c r="O53" s="75">
        <f t="shared" si="19"/>
        <v>54529.498098999997</v>
      </c>
      <c r="P53" s="208">
        <f t="shared" si="20"/>
        <v>107.82120872187289</v>
      </c>
      <c r="Q53" s="209">
        <f t="shared" si="21"/>
        <v>6</v>
      </c>
      <c r="R53" s="141" t="str">
        <f t="shared" si="22"/>
        <v>0</v>
      </c>
      <c r="S53" s="78">
        <f t="shared" si="24"/>
        <v>5.6100000000000011E-2</v>
      </c>
      <c r="T53" s="210">
        <f t="shared" si="23"/>
        <v>6.0560999999999998</v>
      </c>
      <c r="U53" s="211"/>
      <c r="V53" s="206"/>
      <c r="W53" s="206"/>
      <c r="X53" s="206"/>
      <c r="AC53" s="462"/>
      <c r="AD53" s="464" t="s">
        <v>56</v>
      </c>
      <c r="AE53" s="465"/>
      <c r="AF53" s="465"/>
      <c r="AG53" s="465"/>
      <c r="AH53" s="466"/>
      <c r="AI53" s="464" t="s">
        <v>57</v>
      </c>
      <c r="AJ53" s="465"/>
      <c r="AK53" s="465"/>
      <c r="AL53" s="465"/>
      <c r="AM53" s="466"/>
    </row>
    <row r="54" spans="12:41" hidden="1">
      <c r="L54" s="194">
        <v>1</v>
      </c>
      <c r="M54" s="207" t="s">
        <v>6</v>
      </c>
      <c r="N54" s="75">
        <v>37301</v>
      </c>
      <c r="O54" s="75">
        <f t="shared" si="19"/>
        <v>39480.169204999998</v>
      </c>
      <c r="P54" s="208">
        <f t="shared" si="20"/>
        <v>105.84212006380525</v>
      </c>
      <c r="Q54" s="209">
        <f t="shared" si="21"/>
        <v>6</v>
      </c>
      <c r="R54" s="141" t="str">
        <f t="shared" si="22"/>
        <v>0</v>
      </c>
      <c r="S54" s="78">
        <f t="shared" si="24"/>
        <v>5.2800000000000014E-2</v>
      </c>
      <c r="T54" s="210">
        <f t="shared" si="23"/>
        <v>6.0528000000000004</v>
      </c>
      <c r="U54" s="211"/>
      <c r="V54" s="206"/>
      <c r="W54" s="206"/>
      <c r="X54" s="206"/>
      <c r="AC54" s="463"/>
      <c r="AD54" s="89" t="s">
        <v>58</v>
      </c>
      <c r="AE54" s="89" t="s">
        <v>59</v>
      </c>
      <c r="AF54" s="89" t="s">
        <v>60</v>
      </c>
      <c r="AG54" s="89" t="s">
        <v>61</v>
      </c>
      <c r="AH54" s="90" t="s">
        <v>62</v>
      </c>
      <c r="AI54" s="89" t="s">
        <v>58</v>
      </c>
      <c r="AJ54" s="89" t="s">
        <v>59</v>
      </c>
      <c r="AK54" s="89" t="s">
        <v>60</v>
      </c>
      <c r="AL54" s="89" t="s">
        <v>61</v>
      </c>
      <c r="AM54" s="91" t="s">
        <v>62</v>
      </c>
      <c r="AN54" s="89" t="s">
        <v>135</v>
      </c>
      <c r="AO54" s="89" t="s">
        <v>136</v>
      </c>
    </row>
    <row r="55" spans="12:41" hidden="1">
      <c r="L55" s="194">
        <v>1</v>
      </c>
      <c r="M55" s="207" t="s">
        <v>10</v>
      </c>
      <c r="N55" s="75">
        <v>68028</v>
      </c>
      <c r="O55" s="75">
        <f t="shared" si="19"/>
        <v>71725.208471999998</v>
      </c>
      <c r="P55" s="208">
        <f t="shared" si="20"/>
        <v>105.43483340977245</v>
      </c>
      <c r="Q55" s="209">
        <f t="shared" si="21"/>
        <v>6</v>
      </c>
      <c r="R55" s="141" t="str">
        <f t="shared" si="22"/>
        <v>0</v>
      </c>
      <c r="S55" s="78">
        <f t="shared" si="24"/>
        <v>4.9500000000000016E-2</v>
      </c>
      <c r="T55" s="210">
        <f t="shared" si="23"/>
        <v>6.0495000000000001</v>
      </c>
      <c r="U55" s="211"/>
      <c r="V55" s="206"/>
      <c r="W55" s="206"/>
      <c r="X55" s="206"/>
      <c r="AC55" s="92" t="s">
        <v>25</v>
      </c>
      <c r="AD55" s="4">
        <v>297115142115</v>
      </c>
      <c r="AE55" s="4">
        <v>94981460966</v>
      </c>
      <c r="AF55" s="4">
        <v>0</v>
      </c>
      <c r="AG55" s="4">
        <v>0</v>
      </c>
      <c r="AH55" s="5">
        <v>392096603081</v>
      </c>
      <c r="AI55" s="4">
        <v>299307565119</v>
      </c>
      <c r="AJ55" s="4">
        <v>89054352625</v>
      </c>
      <c r="AK55" s="4">
        <v>0</v>
      </c>
      <c r="AL55" s="4">
        <v>0</v>
      </c>
      <c r="AM55" s="6">
        <v>388361917744</v>
      </c>
      <c r="AN55" s="7">
        <f t="shared" ref="AN55:AN96" si="25">AJ55+AK55+AL55</f>
        <v>89054352625</v>
      </c>
      <c r="AO55" s="7">
        <f t="shared" ref="AO55:AO96" si="26">AE55+AF55+AG55</f>
        <v>94981460966</v>
      </c>
    </row>
    <row r="56" spans="12:41" hidden="1">
      <c r="L56" s="194">
        <v>1</v>
      </c>
      <c r="M56" s="207" t="s">
        <v>7</v>
      </c>
      <c r="N56" s="75">
        <v>119184</v>
      </c>
      <c r="O56" s="75">
        <f>VLOOKUP(M56,$M$6:$Z$45,4,FALSE)</f>
        <v>125326.663958</v>
      </c>
      <c r="P56" s="208">
        <f t="shared" si="20"/>
        <v>105.15393337864144</v>
      </c>
      <c r="Q56" s="209">
        <f t="shared" si="21"/>
        <v>6</v>
      </c>
      <c r="R56" s="141" t="str">
        <f t="shared" si="22"/>
        <v>0</v>
      </c>
      <c r="S56" s="78">
        <f t="shared" si="24"/>
        <v>4.6200000000000019E-2</v>
      </c>
      <c r="T56" s="210">
        <f t="shared" si="23"/>
        <v>6.0461999999999998</v>
      </c>
      <c r="U56" s="211"/>
      <c r="V56" s="206"/>
      <c r="W56" s="206"/>
      <c r="X56" s="206"/>
      <c r="AC56" s="93" t="s">
        <v>4</v>
      </c>
      <c r="AD56" s="4">
        <v>264595836336</v>
      </c>
      <c r="AE56" s="4">
        <v>78518845839</v>
      </c>
      <c r="AF56" s="4">
        <v>0</v>
      </c>
      <c r="AG56" s="4">
        <v>0</v>
      </c>
      <c r="AH56" s="5">
        <v>343114682175</v>
      </c>
      <c r="AI56" s="4">
        <v>264541653391</v>
      </c>
      <c r="AJ56" s="4">
        <v>69553881414</v>
      </c>
      <c r="AK56" s="4">
        <v>0</v>
      </c>
      <c r="AL56" s="4">
        <v>0</v>
      </c>
      <c r="AM56" s="6">
        <v>334095534805</v>
      </c>
      <c r="AN56" s="7">
        <f t="shared" si="25"/>
        <v>69553881414</v>
      </c>
      <c r="AO56" s="7">
        <f t="shared" si="26"/>
        <v>78518845839</v>
      </c>
    </row>
    <row r="57" spans="12:41" hidden="1">
      <c r="L57" s="194">
        <v>1</v>
      </c>
      <c r="M57" s="207" t="s">
        <v>25</v>
      </c>
      <c r="N57" s="75">
        <v>85242</v>
      </c>
      <c r="O57" s="75">
        <f t="shared" ref="O57:O89" si="27">VLOOKUP(M57,$AC$8:$AO$49,12,FALSE)/1000000</f>
        <v>89082.789755999998</v>
      </c>
      <c r="P57" s="208">
        <f t="shared" si="20"/>
        <v>104.50574805377632</v>
      </c>
      <c r="Q57" s="209">
        <f t="shared" si="21"/>
        <v>6</v>
      </c>
      <c r="R57" s="141" t="str">
        <f t="shared" si="22"/>
        <v>0</v>
      </c>
      <c r="S57" s="78">
        <f t="shared" si="24"/>
        <v>4.2900000000000021E-2</v>
      </c>
      <c r="T57" s="210">
        <f t="shared" si="23"/>
        <v>6.0429000000000004</v>
      </c>
      <c r="U57" s="211"/>
      <c r="V57" s="206"/>
      <c r="W57" s="206"/>
      <c r="X57" s="206"/>
      <c r="AC57" s="93" t="s">
        <v>8</v>
      </c>
      <c r="AD57" s="4">
        <v>265996259846</v>
      </c>
      <c r="AE57" s="4">
        <v>94462483299</v>
      </c>
      <c r="AF57" s="4">
        <v>29892090</v>
      </c>
      <c r="AG57" s="4">
        <v>0</v>
      </c>
      <c r="AH57" s="5">
        <v>360488635235</v>
      </c>
      <c r="AI57" s="4">
        <v>269480348425</v>
      </c>
      <c r="AJ57" s="4">
        <v>85756385726</v>
      </c>
      <c r="AK57" s="4">
        <v>32770680</v>
      </c>
      <c r="AL57" s="4">
        <v>0</v>
      </c>
      <c r="AM57" s="6">
        <v>355269504831</v>
      </c>
      <c r="AN57" s="7">
        <f t="shared" si="25"/>
        <v>85789156406</v>
      </c>
      <c r="AO57" s="7">
        <f t="shared" si="26"/>
        <v>94492375389</v>
      </c>
    </row>
    <row r="58" spans="12:41" hidden="1">
      <c r="L58" s="194">
        <v>1</v>
      </c>
      <c r="M58" s="207" t="s">
        <v>17</v>
      </c>
      <c r="N58" s="75">
        <v>103016</v>
      </c>
      <c r="O58" s="75">
        <f t="shared" si="27"/>
        <v>106884.890699</v>
      </c>
      <c r="P58" s="208">
        <f t="shared" si="20"/>
        <v>103.75562116467344</v>
      </c>
      <c r="Q58" s="209">
        <f t="shared" si="21"/>
        <v>6</v>
      </c>
      <c r="R58" s="141" t="str">
        <f t="shared" si="22"/>
        <v>0</v>
      </c>
      <c r="S58" s="78">
        <f t="shared" si="24"/>
        <v>3.9600000000000024E-2</v>
      </c>
      <c r="T58" s="210">
        <f t="shared" si="23"/>
        <v>6.0396000000000001</v>
      </c>
      <c r="U58" s="211"/>
      <c r="V58" s="206"/>
      <c r="W58" s="206"/>
      <c r="X58" s="206"/>
      <c r="AC58" s="93" t="s">
        <v>40</v>
      </c>
      <c r="AD58" s="4">
        <v>86957739860</v>
      </c>
      <c r="AE58" s="4">
        <v>24928044868</v>
      </c>
      <c r="AF58" s="4">
        <v>0</v>
      </c>
      <c r="AG58" s="4">
        <v>0</v>
      </c>
      <c r="AH58" s="5">
        <v>111885784728</v>
      </c>
      <c r="AI58" s="4">
        <v>88197216750</v>
      </c>
      <c r="AJ58" s="4">
        <v>22463774907</v>
      </c>
      <c r="AK58" s="4">
        <v>0</v>
      </c>
      <c r="AL58" s="4">
        <v>0</v>
      </c>
      <c r="AM58" s="6">
        <v>110660991657</v>
      </c>
      <c r="AN58" s="7">
        <f t="shared" si="25"/>
        <v>22463774907</v>
      </c>
      <c r="AO58" s="7">
        <f t="shared" si="26"/>
        <v>24928044868</v>
      </c>
    </row>
    <row r="59" spans="12:41" hidden="1">
      <c r="L59" s="194">
        <v>1</v>
      </c>
      <c r="M59" s="207" t="s">
        <v>8</v>
      </c>
      <c r="N59" s="75">
        <v>82878</v>
      </c>
      <c r="O59" s="75">
        <f t="shared" si="27"/>
        <v>85812.832687999995</v>
      </c>
      <c r="P59" s="208">
        <f t="shared" si="20"/>
        <v>103.54114805859214</v>
      </c>
      <c r="Q59" s="209">
        <f t="shared" si="21"/>
        <v>6</v>
      </c>
      <c r="R59" s="141" t="str">
        <f t="shared" si="22"/>
        <v>0</v>
      </c>
      <c r="S59" s="78">
        <f t="shared" si="24"/>
        <v>3.6300000000000027E-2</v>
      </c>
      <c r="T59" s="210">
        <f t="shared" si="23"/>
        <v>6.0362999999999998</v>
      </c>
      <c r="U59" s="211"/>
      <c r="V59" s="206"/>
      <c r="W59" s="206"/>
      <c r="X59" s="206"/>
      <c r="AC59" s="93" t="s">
        <v>37</v>
      </c>
      <c r="AD59" s="4">
        <v>90349133477</v>
      </c>
      <c r="AE59" s="4">
        <v>36699334075</v>
      </c>
      <c r="AF59" s="4">
        <v>0</v>
      </c>
      <c r="AG59" s="4">
        <v>0</v>
      </c>
      <c r="AH59" s="5">
        <v>127048467552</v>
      </c>
      <c r="AI59" s="4">
        <v>85779393353</v>
      </c>
      <c r="AJ59" s="4">
        <v>35921930170</v>
      </c>
      <c r="AK59" s="4">
        <v>0</v>
      </c>
      <c r="AL59" s="4">
        <v>0</v>
      </c>
      <c r="AM59" s="6">
        <v>121701323523</v>
      </c>
      <c r="AN59" s="7">
        <f t="shared" si="25"/>
        <v>35921930170</v>
      </c>
      <c r="AO59" s="7">
        <f t="shared" si="26"/>
        <v>36699334075</v>
      </c>
    </row>
    <row r="60" spans="12:41" hidden="1">
      <c r="L60" s="194">
        <v>1</v>
      </c>
      <c r="M60" s="207" t="s">
        <v>12</v>
      </c>
      <c r="N60" s="75">
        <v>32723</v>
      </c>
      <c r="O60" s="75">
        <f t="shared" si="27"/>
        <v>33721.867566000001</v>
      </c>
      <c r="P60" s="208">
        <f t="shared" si="20"/>
        <v>103.05249386058735</v>
      </c>
      <c r="Q60" s="209">
        <f t="shared" si="21"/>
        <v>6</v>
      </c>
      <c r="R60" s="141" t="str">
        <f t="shared" si="22"/>
        <v>0</v>
      </c>
      <c r="S60" s="78">
        <f t="shared" si="24"/>
        <v>3.3000000000000029E-2</v>
      </c>
      <c r="T60" s="210">
        <f t="shared" si="23"/>
        <v>6.0330000000000004</v>
      </c>
      <c r="U60" s="211"/>
      <c r="V60" s="206"/>
      <c r="W60" s="206"/>
      <c r="X60" s="206"/>
      <c r="AC60" s="93" t="s">
        <v>33</v>
      </c>
      <c r="AD60" s="4">
        <v>46801463248</v>
      </c>
      <c r="AE60" s="4">
        <v>21902047222</v>
      </c>
      <c r="AF60" s="4">
        <v>0</v>
      </c>
      <c r="AG60" s="4">
        <v>0</v>
      </c>
      <c r="AH60" s="5">
        <v>68703510470</v>
      </c>
      <c r="AI60" s="4">
        <v>45757984379</v>
      </c>
      <c r="AJ60" s="4">
        <v>20680813123</v>
      </c>
      <c r="AK60" s="4">
        <v>0</v>
      </c>
      <c r="AL60" s="4">
        <v>0</v>
      </c>
      <c r="AM60" s="6">
        <v>66438797502</v>
      </c>
      <c r="AN60" s="7">
        <f t="shared" si="25"/>
        <v>20680813123</v>
      </c>
      <c r="AO60" s="7">
        <f t="shared" si="26"/>
        <v>21902047222</v>
      </c>
    </row>
    <row r="61" spans="12:41" hidden="1">
      <c r="L61" s="194">
        <v>1</v>
      </c>
      <c r="M61" s="207" t="s">
        <v>15</v>
      </c>
      <c r="N61" s="75">
        <v>88844</v>
      </c>
      <c r="O61" s="75">
        <f t="shared" si="27"/>
        <v>91428.828951999996</v>
      </c>
      <c r="P61" s="208">
        <f t="shared" si="20"/>
        <v>102.90940181891854</v>
      </c>
      <c r="Q61" s="209">
        <f t="shared" si="21"/>
        <v>6</v>
      </c>
      <c r="R61" s="141" t="str">
        <f t="shared" si="22"/>
        <v>0</v>
      </c>
      <c r="S61" s="78">
        <f t="shared" si="24"/>
        <v>2.9700000000000028E-2</v>
      </c>
      <c r="T61" s="210">
        <f t="shared" si="23"/>
        <v>6.0297000000000001</v>
      </c>
      <c r="U61" s="211"/>
      <c r="V61" s="206"/>
      <c r="W61" s="206"/>
      <c r="X61" s="206"/>
      <c r="AC61" s="93" t="s">
        <v>28</v>
      </c>
      <c r="AD61" s="4">
        <v>146755595682</v>
      </c>
      <c r="AE61" s="4">
        <v>47865894962</v>
      </c>
      <c r="AF61" s="4">
        <v>16893329</v>
      </c>
      <c r="AG61" s="4">
        <v>0</v>
      </c>
      <c r="AH61" s="5">
        <v>194638383973</v>
      </c>
      <c r="AI61" s="4">
        <v>139995988449</v>
      </c>
      <c r="AJ61" s="4">
        <v>45102024632</v>
      </c>
      <c r="AK61" s="4">
        <v>31285460</v>
      </c>
      <c r="AL61" s="4">
        <v>0</v>
      </c>
      <c r="AM61" s="6">
        <v>185129298541</v>
      </c>
      <c r="AN61" s="7">
        <f t="shared" si="25"/>
        <v>45133310092</v>
      </c>
      <c r="AO61" s="7">
        <f t="shared" si="26"/>
        <v>47882788291</v>
      </c>
    </row>
    <row r="62" spans="12:41" hidden="1">
      <c r="L62" s="194">
        <v>1</v>
      </c>
      <c r="M62" s="207" t="s">
        <v>13</v>
      </c>
      <c r="N62" s="75">
        <v>43423</v>
      </c>
      <c r="O62" s="75">
        <f t="shared" si="27"/>
        <v>44634.275407000001</v>
      </c>
      <c r="P62" s="208">
        <f t="shared" si="20"/>
        <v>102.78947886373581</v>
      </c>
      <c r="Q62" s="209">
        <f t="shared" si="21"/>
        <v>6</v>
      </c>
      <c r="R62" s="141" t="str">
        <f t="shared" si="22"/>
        <v>0</v>
      </c>
      <c r="S62" s="78">
        <f t="shared" si="24"/>
        <v>2.6400000000000028E-2</v>
      </c>
      <c r="T62" s="210">
        <f t="shared" si="23"/>
        <v>6.0263999999999998</v>
      </c>
      <c r="U62" s="211"/>
      <c r="V62" s="206"/>
      <c r="W62" s="206"/>
      <c r="X62" s="206"/>
      <c r="AC62" s="93" t="s">
        <v>31</v>
      </c>
      <c r="AD62" s="4">
        <v>80414135657</v>
      </c>
      <c r="AE62" s="4">
        <v>25213343874</v>
      </c>
      <c r="AF62" s="4">
        <v>0</v>
      </c>
      <c r="AG62" s="4">
        <v>0</v>
      </c>
      <c r="AH62" s="5">
        <v>105627479531</v>
      </c>
      <c r="AI62" s="4">
        <v>80394393982</v>
      </c>
      <c r="AJ62" s="4">
        <v>23538571736</v>
      </c>
      <c r="AK62" s="4">
        <v>0</v>
      </c>
      <c r="AL62" s="4">
        <v>0</v>
      </c>
      <c r="AM62" s="6">
        <v>103932965718</v>
      </c>
      <c r="AN62" s="7">
        <f t="shared" si="25"/>
        <v>23538571736</v>
      </c>
      <c r="AO62" s="7">
        <f t="shared" si="26"/>
        <v>25213343874</v>
      </c>
    </row>
    <row r="63" spans="12:41" hidden="1">
      <c r="L63" s="194">
        <v>1</v>
      </c>
      <c r="M63" s="207" t="s">
        <v>11</v>
      </c>
      <c r="N63" s="75">
        <v>56604</v>
      </c>
      <c r="O63" s="75">
        <f t="shared" si="27"/>
        <v>57943.474570999999</v>
      </c>
      <c r="P63" s="208">
        <f t="shared" si="20"/>
        <v>102.3663956098509</v>
      </c>
      <c r="Q63" s="209">
        <f t="shared" si="21"/>
        <v>6</v>
      </c>
      <c r="R63" s="141" t="str">
        <f t="shared" si="22"/>
        <v>0</v>
      </c>
      <c r="S63" s="78">
        <f t="shared" si="24"/>
        <v>2.3100000000000027E-2</v>
      </c>
      <c r="T63" s="210">
        <f t="shared" si="23"/>
        <v>6.0231000000000003</v>
      </c>
      <c r="U63" s="211"/>
      <c r="V63" s="206"/>
      <c r="W63" s="206"/>
      <c r="X63" s="206"/>
      <c r="AC63" s="93" t="s">
        <v>32</v>
      </c>
      <c r="AD63" s="4">
        <v>100002085858</v>
      </c>
      <c r="AE63" s="4">
        <v>30346840488</v>
      </c>
      <c r="AF63" s="4">
        <v>0</v>
      </c>
      <c r="AG63" s="4">
        <v>0</v>
      </c>
      <c r="AH63" s="5">
        <v>130348926346</v>
      </c>
      <c r="AI63" s="4">
        <v>99605401433</v>
      </c>
      <c r="AJ63" s="4">
        <v>27731240848</v>
      </c>
      <c r="AK63" s="4">
        <v>0</v>
      </c>
      <c r="AL63" s="4">
        <v>0</v>
      </c>
      <c r="AM63" s="6">
        <v>127336642281</v>
      </c>
      <c r="AN63" s="7">
        <f t="shared" si="25"/>
        <v>27731240848</v>
      </c>
      <c r="AO63" s="7">
        <f t="shared" si="26"/>
        <v>30346840488</v>
      </c>
    </row>
    <row r="64" spans="12:41" hidden="1">
      <c r="L64" s="194">
        <v>1</v>
      </c>
      <c r="M64" s="207" t="s">
        <v>18</v>
      </c>
      <c r="N64" s="75">
        <v>88189</v>
      </c>
      <c r="O64" s="75">
        <f t="shared" si="27"/>
        <v>90133.833431000006</v>
      </c>
      <c r="P64" s="208">
        <f t="shared" si="20"/>
        <v>102.20530160337458</v>
      </c>
      <c r="Q64" s="209">
        <f t="shared" si="21"/>
        <v>6</v>
      </c>
      <c r="R64" s="141" t="str">
        <f t="shared" si="22"/>
        <v>0</v>
      </c>
      <c r="S64" s="78">
        <f t="shared" si="24"/>
        <v>1.9800000000000026E-2</v>
      </c>
      <c r="T64" s="210">
        <f t="shared" si="23"/>
        <v>6.0198</v>
      </c>
      <c r="U64" s="211"/>
      <c r="V64" s="206"/>
      <c r="W64" s="206"/>
      <c r="X64" s="206"/>
      <c r="AC64" s="93" t="s">
        <v>34</v>
      </c>
      <c r="AD64" s="4">
        <v>91379057640</v>
      </c>
      <c r="AE64" s="4">
        <v>32359537377</v>
      </c>
      <c r="AF64" s="4">
        <v>136235112</v>
      </c>
      <c r="AG64" s="4">
        <v>0</v>
      </c>
      <c r="AH64" s="5">
        <v>123874830129</v>
      </c>
      <c r="AI64" s="4">
        <v>90658141782</v>
      </c>
      <c r="AJ64" s="4">
        <v>31836386368</v>
      </c>
      <c r="AK64" s="4">
        <v>140034686</v>
      </c>
      <c r="AL64" s="4">
        <v>0</v>
      </c>
      <c r="AM64" s="6">
        <v>122634562836</v>
      </c>
      <c r="AN64" s="7">
        <f t="shared" si="25"/>
        <v>31976421054</v>
      </c>
      <c r="AO64" s="7">
        <f t="shared" si="26"/>
        <v>32495772489</v>
      </c>
    </row>
    <row r="65" spans="12:43" hidden="1">
      <c r="L65" s="194">
        <v>1</v>
      </c>
      <c r="M65" s="207" t="s">
        <v>28</v>
      </c>
      <c r="N65" s="75">
        <v>44175</v>
      </c>
      <c r="O65" s="75">
        <f t="shared" si="27"/>
        <v>45142.536523000002</v>
      </c>
      <c r="P65" s="208">
        <f t="shared" si="20"/>
        <v>102.19023547934353</v>
      </c>
      <c r="Q65" s="209">
        <f t="shared" si="21"/>
        <v>6</v>
      </c>
      <c r="R65" s="141" t="str">
        <f t="shared" si="22"/>
        <v>0</v>
      </c>
      <c r="S65" s="78">
        <f t="shared" si="24"/>
        <v>1.6500000000000025E-2</v>
      </c>
      <c r="T65" s="210">
        <f t="shared" si="23"/>
        <v>6.0164999999999997</v>
      </c>
      <c r="U65" s="211"/>
      <c r="V65" s="206"/>
      <c r="W65" s="206"/>
      <c r="X65" s="206"/>
      <c r="AC65" s="93" t="s">
        <v>36</v>
      </c>
      <c r="AD65" s="4">
        <v>72073476960</v>
      </c>
      <c r="AE65" s="4">
        <v>22628046600</v>
      </c>
      <c r="AF65" s="4">
        <v>0</v>
      </c>
      <c r="AG65" s="4">
        <v>0</v>
      </c>
      <c r="AH65" s="5">
        <v>94701523560</v>
      </c>
      <c r="AI65" s="4">
        <v>75004727551</v>
      </c>
      <c r="AJ65" s="4">
        <v>21919882112</v>
      </c>
      <c r="AK65" s="4">
        <v>0</v>
      </c>
      <c r="AL65" s="4">
        <v>0</v>
      </c>
      <c r="AM65" s="6">
        <v>96924609663</v>
      </c>
      <c r="AN65" s="7">
        <f t="shared" si="25"/>
        <v>21919882112</v>
      </c>
      <c r="AO65" s="7">
        <f t="shared" si="26"/>
        <v>22628046600</v>
      </c>
    </row>
    <row r="66" spans="12:43" hidden="1">
      <c r="L66" s="194">
        <v>1</v>
      </c>
      <c r="M66" s="207" t="s">
        <v>35</v>
      </c>
      <c r="N66" s="75">
        <v>24369</v>
      </c>
      <c r="O66" s="75">
        <f t="shared" si="27"/>
        <v>24714.680156999999</v>
      </c>
      <c r="P66" s="208">
        <f t="shared" si="20"/>
        <v>101.41852417825926</v>
      </c>
      <c r="Q66" s="209">
        <f t="shared" si="21"/>
        <v>6</v>
      </c>
      <c r="R66" s="141" t="str">
        <f t="shared" si="22"/>
        <v>0</v>
      </c>
      <c r="S66" s="78">
        <f t="shared" si="24"/>
        <v>1.3200000000000024E-2</v>
      </c>
      <c r="T66" s="210">
        <f t="shared" si="23"/>
        <v>6.0132000000000003</v>
      </c>
      <c r="U66" s="211"/>
      <c r="V66" s="206"/>
      <c r="W66" s="206"/>
      <c r="X66" s="206"/>
      <c r="AC66" s="93" t="s">
        <v>29</v>
      </c>
      <c r="AD66" s="4">
        <v>121375599643</v>
      </c>
      <c r="AE66" s="4">
        <v>39673882901</v>
      </c>
      <c r="AF66" s="4">
        <v>14567496</v>
      </c>
      <c r="AG66" s="4">
        <v>0</v>
      </c>
      <c r="AH66" s="5">
        <v>161064050040</v>
      </c>
      <c r="AI66" s="4">
        <v>129750260802</v>
      </c>
      <c r="AJ66" s="4">
        <v>38276858457</v>
      </c>
      <c r="AK66" s="4">
        <v>23408045</v>
      </c>
      <c r="AL66" s="4">
        <v>0</v>
      </c>
      <c r="AM66" s="6">
        <v>168050527304</v>
      </c>
      <c r="AN66" s="7">
        <f t="shared" si="25"/>
        <v>38300266502</v>
      </c>
      <c r="AO66" s="7">
        <f t="shared" si="26"/>
        <v>39688450397</v>
      </c>
    </row>
    <row r="67" spans="12:43" hidden="1">
      <c r="L67" s="194">
        <v>1</v>
      </c>
      <c r="M67" s="207" t="s">
        <v>29</v>
      </c>
      <c r="N67" s="75">
        <v>37777</v>
      </c>
      <c r="O67" s="75">
        <f t="shared" si="27"/>
        <v>38306.152844999997</v>
      </c>
      <c r="P67" s="208">
        <f t="shared" si="20"/>
        <v>101.40072754586123</v>
      </c>
      <c r="Q67" s="209">
        <f t="shared" si="21"/>
        <v>6</v>
      </c>
      <c r="R67" s="141" t="str">
        <f t="shared" si="22"/>
        <v>0</v>
      </c>
      <c r="S67" s="78">
        <f t="shared" si="24"/>
        <v>9.9000000000000234E-3</v>
      </c>
      <c r="T67" s="210">
        <f t="shared" si="23"/>
        <v>6.0099</v>
      </c>
      <c r="U67" s="211"/>
      <c r="V67" s="206"/>
      <c r="W67" s="206"/>
      <c r="X67" s="206"/>
      <c r="AC67" s="93" t="s">
        <v>30</v>
      </c>
      <c r="AD67" s="4">
        <v>83520848278</v>
      </c>
      <c r="AE67" s="4">
        <v>34918117810</v>
      </c>
      <c r="AF67" s="4">
        <v>11091430</v>
      </c>
      <c r="AG67" s="4">
        <v>0</v>
      </c>
      <c r="AH67" s="5">
        <v>118450057518</v>
      </c>
      <c r="AI67" s="4">
        <v>80200693548</v>
      </c>
      <c r="AJ67" s="4">
        <v>36364702325</v>
      </c>
      <c r="AK67" s="4">
        <v>20987645</v>
      </c>
      <c r="AL67" s="4">
        <v>0</v>
      </c>
      <c r="AM67" s="6">
        <v>116586383518</v>
      </c>
      <c r="AN67" s="7">
        <f t="shared" si="25"/>
        <v>36385689970</v>
      </c>
      <c r="AO67" s="7">
        <f t="shared" si="26"/>
        <v>34929209240</v>
      </c>
    </row>
    <row r="68" spans="12:43" hidden="1">
      <c r="L68" s="194">
        <v>1</v>
      </c>
      <c r="M68" s="207" t="s">
        <v>9</v>
      </c>
      <c r="N68" s="75">
        <v>62839</v>
      </c>
      <c r="O68" s="75">
        <f t="shared" si="27"/>
        <v>63673.542368000002</v>
      </c>
      <c r="P68" s="208">
        <f t="shared" si="20"/>
        <v>101.32806436766977</v>
      </c>
      <c r="Q68" s="209">
        <f t="shared" si="21"/>
        <v>6</v>
      </c>
      <c r="R68" s="141" t="str">
        <f t="shared" si="22"/>
        <v>0</v>
      </c>
      <c r="S68" s="78">
        <f t="shared" si="24"/>
        <v>6.6000000000000234E-3</v>
      </c>
      <c r="T68" s="210">
        <f t="shared" si="23"/>
        <v>6.0065999999999997</v>
      </c>
      <c r="U68" s="211"/>
      <c r="V68" s="206"/>
      <c r="W68" s="206"/>
      <c r="X68" s="206"/>
      <c r="AC68" s="93" t="s">
        <v>35</v>
      </c>
      <c r="AD68" s="4">
        <v>78203562577</v>
      </c>
      <c r="AE68" s="4">
        <v>24959454498</v>
      </c>
      <c r="AF68" s="4">
        <v>73854505</v>
      </c>
      <c r="AG68" s="4">
        <v>0</v>
      </c>
      <c r="AH68" s="5">
        <v>103236871580</v>
      </c>
      <c r="AI68" s="4">
        <v>79866718831</v>
      </c>
      <c r="AJ68" s="4">
        <v>24607600649</v>
      </c>
      <c r="AK68" s="4">
        <v>106228399</v>
      </c>
      <c r="AL68" s="4">
        <v>0</v>
      </c>
      <c r="AM68" s="6">
        <v>104580547879</v>
      </c>
      <c r="AN68" s="7">
        <f t="shared" si="25"/>
        <v>24713829048</v>
      </c>
      <c r="AO68" s="7">
        <f t="shared" si="26"/>
        <v>25033309003</v>
      </c>
    </row>
    <row r="69" spans="12:43" hidden="1">
      <c r="L69" s="194">
        <v>1</v>
      </c>
      <c r="M69" s="207" t="s">
        <v>26</v>
      </c>
      <c r="N69" s="75">
        <v>39956</v>
      </c>
      <c r="O69" s="75">
        <f t="shared" si="27"/>
        <v>39991.796819000003</v>
      </c>
      <c r="P69" s="208">
        <f t="shared" si="20"/>
        <v>100.08959059715689</v>
      </c>
      <c r="Q69" s="209">
        <f t="shared" si="21"/>
        <v>6</v>
      </c>
      <c r="R69" s="141" t="str">
        <f t="shared" si="22"/>
        <v>0</v>
      </c>
      <c r="S69" s="78">
        <f t="shared" si="24"/>
        <v>3.3000000000000234E-3</v>
      </c>
      <c r="T69" s="210">
        <f t="shared" si="23"/>
        <v>6.0033000000000003</v>
      </c>
      <c r="U69" s="211"/>
      <c r="V69" s="206"/>
      <c r="W69" s="206"/>
      <c r="X69" s="206"/>
      <c r="AC69" s="93" t="s">
        <v>9</v>
      </c>
      <c r="AD69" s="4">
        <v>218883951789</v>
      </c>
      <c r="AE69" s="4">
        <v>66203838649</v>
      </c>
      <c r="AF69" s="4">
        <v>57515690</v>
      </c>
      <c r="AG69" s="4">
        <v>0</v>
      </c>
      <c r="AH69" s="5">
        <v>285145306128</v>
      </c>
      <c r="AI69" s="4">
        <v>217418865624</v>
      </c>
      <c r="AJ69" s="4">
        <v>63545110915</v>
      </c>
      <c r="AK69" s="4">
        <v>120922617</v>
      </c>
      <c r="AL69" s="4">
        <v>0</v>
      </c>
      <c r="AM69" s="6">
        <v>281084899156</v>
      </c>
      <c r="AN69" s="7">
        <f t="shared" si="25"/>
        <v>63666033532</v>
      </c>
      <c r="AO69" s="7">
        <f t="shared" si="26"/>
        <v>66261354339</v>
      </c>
    </row>
    <row r="70" spans="12:43" hidden="1">
      <c r="L70" s="194">
        <v>1</v>
      </c>
      <c r="M70" s="207" t="s">
        <v>20</v>
      </c>
      <c r="N70" s="75">
        <v>51645</v>
      </c>
      <c r="O70" s="75">
        <f t="shared" si="27"/>
        <v>51221.426965999999</v>
      </c>
      <c r="P70" s="208">
        <f t="shared" si="20"/>
        <v>99.179837285313184</v>
      </c>
      <c r="Q70" s="209">
        <f t="shared" si="21"/>
        <v>5.9507902371187908</v>
      </c>
      <c r="R70" s="141" t="str">
        <f t="shared" si="22"/>
        <v/>
      </c>
      <c r="S70" s="78">
        <f t="shared" si="24"/>
        <v>2.3418766925686896E-17</v>
      </c>
      <c r="T70" s="210">
        <f t="shared" si="23"/>
        <v>5.9507902371187908</v>
      </c>
      <c r="U70" s="211"/>
      <c r="V70" s="206"/>
      <c r="W70" s="206"/>
      <c r="X70" s="206"/>
      <c r="AC70" s="93" t="s">
        <v>26</v>
      </c>
      <c r="AD70" s="4">
        <v>149162304400</v>
      </c>
      <c r="AE70" s="4">
        <v>40929352007</v>
      </c>
      <c r="AF70" s="4">
        <v>143811532</v>
      </c>
      <c r="AG70" s="4">
        <v>0</v>
      </c>
      <c r="AH70" s="5">
        <v>190235467939</v>
      </c>
      <c r="AI70" s="4">
        <v>143248242128</v>
      </c>
      <c r="AJ70" s="4">
        <v>39850856735</v>
      </c>
      <c r="AK70" s="4">
        <v>136452096</v>
      </c>
      <c r="AL70" s="4">
        <v>0</v>
      </c>
      <c r="AM70" s="6">
        <v>183235550959</v>
      </c>
      <c r="AN70" s="7">
        <f t="shared" si="25"/>
        <v>39987308831</v>
      </c>
      <c r="AO70" s="7">
        <f t="shared" si="26"/>
        <v>41073163539</v>
      </c>
    </row>
    <row r="71" spans="12:43" hidden="1">
      <c r="L71" s="194">
        <v>1</v>
      </c>
      <c r="M71" s="207" t="s">
        <v>22</v>
      </c>
      <c r="N71" s="75">
        <v>47487</v>
      </c>
      <c r="O71" s="75">
        <f t="shared" si="27"/>
        <v>46715.434061</v>
      </c>
      <c r="P71" s="208">
        <f t="shared" si="20"/>
        <v>98.375205974266635</v>
      </c>
      <c r="Q71" s="209">
        <f t="shared" si="21"/>
        <v>5.902512358455998</v>
      </c>
      <c r="R71" s="141" t="str">
        <f t="shared" si="22"/>
        <v/>
      </c>
      <c r="S71" s="78" t="str">
        <f t="shared" si="24"/>
        <v>0</v>
      </c>
      <c r="T71" s="210">
        <f t="shared" si="23"/>
        <v>5.902512358455998</v>
      </c>
      <c r="U71" s="211"/>
      <c r="V71" s="206"/>
      <c r="W71" s="206"/>
      <c r="X71" s="206"/>
      <c r="AC71" s="93" t="s">
        <v>38</v>
      </c>
      <c r="AD71" s="4">
        <v>62757185551</v>
      </c>
      <c r="AE71" s="4">
        <v>22469998130</v>
      </c>
      <c r="AF71" s="4">
        <v>15540290</v>
      </c>
      <c r="AG71" s="4">
        <v>0</v>
      </c>
      <c r="AH71" s="5">
        <v>85242723971</v>
      </c>
      <c r="AI71" s="4">
        <v>60492693272</v>
      </c>
      <c r="AJ71" s="4">
        <v>21050872680</v>
      </c>
      <c r="AK71" s="4">
        <v>21837996</v>
      </c>
      <c r="AL71" s="4">
        <v>0</v>
      </c>
      <c r="AM71" s="6">
        <v>81565403948</v>
      </c>
      <c r="AN71" s="7">
        <f t="shared" si="25"/>
        <v>21072710676</v>
      </c>
      <c r="AO71" s="7">
        <f t="shared" si="26"/>
        <v>22485538420</v>
      </c>
    </row>
    <row r="72" spans="12:43" hidden="1">
      <c r="L72" s="194">
        <v>1</v>
      </c>
      <c r="M72" s="207" t="s">
        <v>27</v>
      </c>
      <c r="N72" s="75">
        <v>53537</v>
      </c>
      <c r="O72" s="75">
        <f t="shared" si="27"/>
        <v>52454.870233000001</v>
      </c>
      <c r="P72" s="208">
        <f t="shared" si="20"/>
        <v>97.978725429142457</v>
      </c>
      <c r="Q72" s="209">
        <f t="shared" si="21"/>
        <v>5.8787235257485468</v>
      </c>
      <c r="R72" s="141" t="str">
        <f t="shared" si="22"/>
        <v/>
      </c>
      <c r="S72" s="78" t="str">
        <f t="shared" si="24"/>
        <v>0</v>
      </c>
      <c r="T72" s="210">
        <f t="shared" si="23"/>
        <v>5.8787235257485468</v>
      </c>
      <c r="U72" s="211"/>
      <c r="V72" s="206"/>
      <c r="W72" s="206"/>
      <c r="X72" s="206"/>
      <c r="AC72" s="93" t="s">
        <v>10</v>
      </c>
      <c r="AD72" s="4">
        <v>304217092017</v>
      </c>
      <c r="AE72" s="4">
        <v>71421105263</v>
      </c>
      <c r="AF72" s="4">
        <v>0</v>
      </c>
      <c r="AG72" s="4">
        <v>0</v>
      </c>
      <c r="AH72" s="5">
        <v>375638197280</v>
      </c>
      <c r="AI72" s="4">
        <v>300096048703</v>
      </c>
      <c r="AJ72" s="4">
        <v>71723048808</v>
      </c>
      <c r="AK72" s="4">
        <v>0</v>
      </c>
      <c r="AL72" s="4">
        <v>0</v>
      </c>
      <c r="AM72" s="6">
        <v>371819097511</v>
      </c>
      <c r="AN72" s="7">
        <f t="shared" si="25"/>
        <v>71723048808</v>
      </c>
      <c r="AO72" s="7">
        <f t="shared" si="26"/>
        <v>71421105263</v>
      </c>
    </row>
    <row r="73" spans="12:43" hidden="1">
      <c r="L73" s="194">
        <v>1</v>
      </c>
      <c r="M73" s="207" t="s">
        <v>21</v>
      </c>
      <c r="N73" s="75">
        <v>48945</v>
      </c>
      <c r="O73" s="75">
        <f t="shared" si="27"/>
        <v>47886.807580000001</v>
      </c>
      <c r="P73" s="208">
        <f t="shared" si="20"/>
        <v>97.837996894473392</v>
      </c>
      <c r="Q73" s="209">
        <f t="shared" si="21"/>
        <v>5.8702798136684029</v>
      </c>
      <c r="R73" s="141" t="str">
        <f t="shared" si="22"/>
        <v/>
      </c>
      <c r="S73" s="78" t="str">
        <f t="shared" si="24"/>
        <v>0</v>
      </c>
      <c r="T73" s="210">
        <f t="shared" si="23"/>
        <v>5.8702798136684029</v>
      </c>
      <c r="U73" s="211"/>
      <c r="V73" s="206"/>
      <c r="W73" s="206"/>
      <c r="X73" s="206"/>
      <c r="AC73" s="93" t="s">
        <v>42</v>
      </c>
      <c r="AD73" s="4">
        <v>79383927922</v>
      </c>
      <c r="AE73" s="4">
        <v>21322275625</v>
      </c>
      <c r="AF73" s="4">
        <v>0</v>
      </c>
      <c r="AG73" s="4">
        <v>0</v>
      </c>
      <c r="AH73" s="5">
        <v>100706203547</v>
      </c>
      <c r="AI73" s="4">
        <v>80932769705</v>
      </c>
      <c r="AJ73" s="4">
        <v>20599068033</v>
      </c>
      <c r="AK73" s="4">
        <v>0</v>
      </c>
      <c r="AL73" s="4">
        <v>0</v>
      </c>
      <c r="AM73" s="6">
        <v>101531837738</v>
      </c>
      <c r="AN73" s="7">
        <f t="shared" si="25"/>
        <v>20599068033</v>
      </c>
      <c r="AO73" s="7">
        <f t="shared" si="26"/>
        <v>21322275625</v>
      </c>
    </row>
    <row r="74" spans="12:43" hidden="1">
      <c r="L74" s="194">
        <v>1</v>
      </c>
      <c r="M74" s="207" t="s">
        <v>37</v>
      </c>
      <c r="N74" s="75">
        <v>36775</v>
      </c>
      <c r="O74" s="75">
        <f t="shared" si="27"/>
        <v>35924.910843999998</v>
      </c>
      <c r="P74" s="208">
        <f t="shared" si="20"/>
        <v>97.688404742352134</v>
      </c>
      <c r="Q74" s="209">
        <f t="shared" si="21"/>
        <v>5.8613042845411281</v>
      </c>
      <c r="R74" s="141" t="str">
        <f t="shared" si="22"/>
        <v/>
      </c>
      <c r="S74" s="78" t="str">
        <f t="shared" si="24"/>
        <v>0</v>
      </c>
      <c r="T74" s="210">
        <f t="shared" si="23"/>
        <v>5.8613042845411281</v>
      </c>
      <c r="U74" s="211"/>
      <c r="V74" s="206"/>
      <c r="W74" s="206"/>
      <c r="X74" s="206"/>
      <c r="AC74" s="93" t="s">
        <v>39</v>
      </c>
      <c r="AD74" s="4">
        <v>48100145907</v>
      </c>
      <c r="AE74" s="4">
        <v>20472506526</v>
      </c>
      <c r="AF74" s="4">
        <v>0</v>
      </c>
      <c r="AG74" s="4">
        <v>0</v>
      </c>
      <c r="AH74" s="5">
        <v>68572652433</v>
      </c>
      <c r="AI74" s="4">
        <v>49233615293</v>
      </c>
      <c r="AJ74" s="4">
        <v>19002303367</v>
      </c>
      <c r="AK74" s="4">
        <v>0</v>
      </c>
      <c r="AL74" s="4">
        <v>0</v>
      </c>
      <c r="AM74" s="6">
        <v>68235918660</v>
      </c>
      <c r="AN74" s="7">
        <f t="shared" si="25"/>
        <v>19002303367</v>
      </c>
      <c r="AO74" s="7">
        <f t="shared" si="26"/>
        <v>20472506526</v>
      </c>
    </row>
    <row r="75" spans="12:43" hidden="1">
      <c r="L75" s="194">
        <v>1</v>
      </c>
      <c r="M75" s="207" t="s">
        <v>24</v>
      </c>
      <c r="N75" s="75">
        <v>37380</v>
      </c>
      <c r="O75" s="75">
        <f t="shared" si="27"/>
        <v>36064.520407999997</v>
      </c>
      <c r="P75" s="208">
        <f t="shared" si="20"/>
        <v>96.480792958801487</v>
      </c>
      <c r="Q75" s="209">
        <f t="shared" si="21"/>
        <v>5.788847577528089</v>
      </c>
      <c r="R75" s="141" t="str">
        <f t="shared" si="22"/>
        <v/>
      </c>
      <c r="S75" s="78" t="str">
        <f t="shared" si="24"/>
        <v>0</v>
      </c>
      <c r="T75" s="210">
        <f t="shared" si="23"/>
        <v>5.788847577528089</v>
      </c>
      <c r="U75" s="211"/>
      <c r="V75" s="206"/>
      <c r="W75" s="206"/>
      <c r="X75" s="206"/>
      <c r="AC75" s="93" t="s">
        <v>41</v>
      </c>
      <c r="AD75" s="4">
        <v>28912466700</v>
      </c>
      <c r="AE75" s="4">
        <v>7174359290</v>
      </c>
      <c r="AF75" s="4">
        <v>0</v>
      </c>
      <c r="AG75" s="4">
        <v>0</v>
      </c>
      <c r="AH75" s="5">
        <v>36086825990</v>
      </c>
      <c r="AI75" s="4">
        <v>28829987172</v>
      </c>
      <c r="AJ75" s="4">
        <v>7431303548</v>
      </c>
      <c r="AK75" s="4">
        <v>3369150</v>
      </c>
      <c r="AL75" s="4">
        <v>0</v>
      </c>
      <c r="AM75" s="6">
        <v>36264659870</v>
      </c>
      <c r="AN75" s="7">
        <f t="shared" si="25"/>
        <v>7434672698</v>
      </c>
      <c r="AO75" s="7">
        <f t="shared" si="26"/>
        <v>7174359290</v>
      </c>
    </row>
    <row r="76" spans="12:43" hidden="1">
      <c r="L76" s="194">
        <v>1</v>
      </c>
      <c r="M76" s="207" t="s">
        <v>4</v>
      </c>
      <c r="N76" s="75">
        <v>73235</v>
      </c>
      <c r="O76" s="75">
        <f t="shared" si="27"/>
        <v>69581.868700000006</v>
      </c>
      <c r="P76" s="208">
        <f t="shared" si="20"/>
        <v>95.011768553287368</v>
      </c>
      <c r="Q76" s="209">
        <f t="shared" si="21"/>
        <v>5.7007061131972421</v>
      </c>
      <c r="R76" s="141" t="str">
        <f t="shared" si="22"/>
        <v/>
      </c>
      <c r="S76" s="78" t="str">
        <f t="shared" si="24"/>
        <v>0</v>
      </c>
      <c r="T76" s="210">
        <f t="shared" si="23"/>
        <v>5.7007061131972421</v>
      </c>
      <c r="U76" s="211"/>
      <c r="V76" s="206"/>
      <c r="W76" s="206"/>
      <c r="X76" s="206"/>
      <c r="AC76" s="93" t="s">
        <v>21</v>
      </c>
      <c r="AD76" s="4">
        <v>100336016574</v>
      </c>
      <c r="AE76" s="4">
        <v>49370746016</v>
      </c>
      <c r="AF76" s="4">
        <v>0</v>
      </c>
      <c r="AG76" s="4">
        <v>0</v>
      </c>
      <c r="AH76" s="5">
        <v>149706762590</v>
      </c>
      <c r="AI76" s="4">
        <v>104134554611</v>
      </c>
      <c r="AJ76" s="4">
        <v>47884818301</v>
      </c>
      <c r="AK76" s="4">
        <v>0</v>
      </c>
      <c r="AL76" s="4">
        <v>0</v>
      </c>
      <c r="AM76" s="6">
        <v>152019372912</v>
      </c>
      <c r="AN76" s="7">
        <f t="shared" si="25"/>
        <v>47884818301</v>
      </c>
      <c r="AO76" s="7">
        <f t="shared" si="26"/>
        <v>49370746016</v>
      </c>
    </row>
    <row r="77" spans="12:43" ht="17.25" hidden="1" thickBot="1">
      <c r="L77" s="194">
        <v>1</v>
      </c>
      <c r="M77" s="212" t="s">
        <v>5</v>
      </c>
      <c r="N77" s="213">
        <v>68038</v>
      </c>
      <c r="O77" s="213">
        <f t="shared" si="27"/>
        <v>57053.663877999999</v>
      </c>
      <c r="P77" s="214">
        <f t="shared" si="20"/>
        <v>83.855586404656222</v>
      </c>
      <c r="Q77" s="215">
        <f t="shared" si="21"/>
        <v>5.0313351842793734</v>
      </c>
      <c r="R77" s="148" t="str">
        <f t="shared" si="22"/>
        <v/>
      </c>
      <c r="S77" s="78" t="str">
        <f t="shared" si="24"/>
        <v>0</v>
      </c>
      <c r="T77" s="216">
        <f t="shared" si="23"/>
        <v>5.0313351842793734</v>
      </c>
      <c r="U77" s="217"/>
      <c r="V77" s="206"/>
      <c r="W77" s="206"/>
      <c r="X77" s="206"/>
      <c r="AC77" s="93" t="s">
        <v>43</v>
      </c>
      <c r="AD77" s="4">
        <v>126243864511</v>
      </c>
      <c r="AE77" s="4">
        <v>28108876563</v>
      </c>
      <c r="AF77" s="4">
        <v>0</v>
      </c>
      <c r="AG77" s="4">
        <v>286</v>
      </c>
      <c r="AH77" s="5">
        <v>154352741360</v>
      </c>
      <c r="AI77" s="4">
        <v>120284311784</v>
      </c>
      <c r="AJ77" s="4">
        <v>27133616697</v>
      </c>
      <c r="AK77" s="4">
        <v>0</v>
      </c>
      <c r="AL77" s="4">
        <v>286</v>
      </c>
      <c r="AM77" s="6">
        <v>147417928767</v>
      </c>
      <c r="AN77" s="7">
        <f t="shared" si="25"/>
        <v>27133616983</v>
      </c>
      <c r="AO77" s="7">
        <f t="shared" si="26"/>
        <v>28108876849</v>
      </c>
    </row>
    <row r="78" spans="12:43" hidden="1">
      <c r="L78" s="194">
        <v>2</v>
      </c>
      <c r="M78" s="218" t="s">
        <v>34</v>
      </c>
      <c r="N78" s="201">
        <v>30447</v>
      </c>
      <c r="O78" s="201">
        <f t="shared" si="27"/>
        <v>31980.410363999999</v>
      </c>
      <c r="P78" s="202">
        <f t="shared" si="20"/>
        <v>105.03632661345944</v>
      </c>
      <c r="Q78" s="203">
        <f t="shared" si="21"/>
        <v>6</v>
      </c>
      <c r="R78" s="59" t="str">
        <f t="shared" si="22"/>
        <v>0</v>
      </c>
      <c r="S78" s="60">
        <f>COUNTIF(R78:R89,"0")*0.0033</f>
        <v>2.9700000000000001E-2</v>
      </c>
      <c r="T78" s="204">
        <f t="shared" si="23"/>
        <v>6.0297000000000001</v>
      </c>
      <c r="U78" s="205"/>
      <c r="V78" s="206"/>
      <c r="W78" s="206"/>
      <c r="X78" s="206"/>
      <c r="AC78" s="93" t="s">
        <v>15</v>
      </c>
      <c r="AD78" s="4">
        <v>284997873483</v>
      </c>
      <c r="AE78" s="4">
        <v>95101513408</v>
      </c>
      <c r="AF78" s="4">
        <v>0</v>
      </c>
      <c r="AG78" s="4">
        <v>0</v>
      </c>
      <c r="AH78" s="5">
        <v>380099386891</v>
      </c>
      <c r="AI78" s="4">
        <v>288247149829</v>
      </c>
      <c r="AJ78" s="4">
        <v>91417446398</v>
      </c>
      <c r="AK78" s="4">
        <v>0</v>
      </c>
      <c r="AL78" s="4">
        <v>0</v>
      </c>
      <c r="AM78" s="6">
        <v>379664596227</v>
      </c>
      <c r="AN78" s="7">
        <f t="shared" si="25"/>
        <v>91417446398</v>
      </c>
      <c r="AO78" s="7">
        <f t="shared" si="26"/>
        <v>95101513408</v>
      </c>
    </row>
    <row r="79" spans="12:43" hidden="1">
      <c r="L79" s="194">
        <v>2</v>
      </c>
      <c r="M79" s="219" t="s">
        <v>32</v>
      </c>
      <c r="N79" s="75">
        <v>26497</v>
      </c>
      <c r="O79" s="75">
        <f t="shared" si="27"/>
        <v>27739.406860999999</v>
      </c>
      <c r="P79" s="208">
        <f t="shared" si="20"/>
        <v>104.68885859153865</v>
      </c>
      <c r="Q79" s="209">
        <f t="shared" si="21"/>
        <v>6</v>
      </c>
      <c r="R79" s="141" t="str">
        <f t="shared" si="22"/>
        <v>0</v>
      </c>
      <c r="S79" s="78">
        <f t="shared" ref="S79:S89" si="28">IF(S78-0.0033&lt;0,"0",S78-0.0033)</f>
        <v>2.64E-2</v>
      </c>
      <c r="T79" s="210">
        <f t="shared" si="23"/>
        <v>6.0263999999999998</v>
      </c>
      <c r="U79" s="211"/>
      <c r="V79" s="206"/>
      <c r="W79" s="206"/>
      <c r="X79" s="206"/>
      <c r="AC79" s="93" t="s">
        <v>22</v>
      </c>
      <c r="AD79" s="4">
        <v>181472348968</v>
      </c>
      <c r="AE79" s="4">
        <v>48573777826</v>
      </c>
      <c r="AF79" s="4">
        <v>0</v>
      </c>
      <c r="AG79" s="4">
        <v>122215</v>
      </c>
      <c r="AH79" s="5">
        <v>230046249009</v>
      </c>
      <c r="AI79" s="4">
        <v>181059454050</v>
      </c>
      <c r="AJ79" s="4">
        <v>46709662521</v>
      </c>
      <c r="AK79" s="4">
        <v>0</v>
      </c>
      <c r="AL79" s="4">
        <v>754035</v>
      </c>
      <c r="AM79" s="6">
        <v>227769870606</v>
      </c>
      <c r="AN79" s="7">
        <f t="shared" si="25"/>
        <v>46710416556</v>
      </c>
      <c r="AO79" s="7">
        <f t="shared" si="26"/>
        <v>48573900041</v>
      </c>
      <c r="AP79" s="44" t="s">
        <v>146</v>
      </c>
      <c r="AQ79" s="44" t="s">
        <v>56</v>
      </c>
    </row>
    <row r="80" spans="12:43" hidden="1">
      <c r="L80" s="194">
        <v>2</v>
      </c>
      <c r="M80" s="219" t="s">
        <v>40</v>
      </c>
      <c r="N80" s="75">
        <v>21628</v>
      </c>
      <c r="O80" s="75">
        <f t="shared" si="27"/>
        <v>22470.306073</v>
      </c>
      <c r="P80" s="208">
        <f t="shared" si="20"/>
        <v>103.89451670519696</v>
      </c>
      <c r="Q80" s="209">
        <f t="shared" si="21"/>
        <v>6</v>
      </c>
      <c r="R80" s="141" t="str">
        <f t="shared" si="22"/>
        <v>0</v>
      </c>
      <c r="S80" s="78">
        <f t="shared" si="28"/>
        <v>2.3099999999999999E-2</v>
      </c>
      <c r="T80" s="210">
        <f t="shared" si="23"/>
        <v>6.0231000000000003</v>
      </c>
      <c r="U80" s="211"/>
      <c r="V80" s="206"/>
      <c r="W80" s="206"/>
      <c r="X80" s="206"/>
      <c r="AC80" s="134" t="s">
        <v>7</v>
      </c>
      <c r="AD80" s="4">
        <v>184363134763</v>
      </c>
      <c r="AE80" s="4">
        <v>60489394024</v>
      </c>
      <c r="AF80" s="4">
        <v>0</v>
      </c>
      <c r="AG80" s="4">
        <v>0</v>
      </c>
      <c r="AH80" s="5">
        <v>244852528787</v>
      </c>
      <c r="AI80" s="4">
        <v>193207424698</v>
      </c>
      <c r="AJ80" s="4">
        <v>71147545270</v>
      </c>
      <c r="AK80" s="4">
        <v>13647515</v>
      </c>
      <c r="AL80" s="4">
        <v>0</v>
      </c>
      <c r="AM80" s="6">
        <v>264368617483</v>
      </c>
      <c r="AN80" s="8">
        <f t="shared" si="25"/>
        <v>71161192785</v>
      </c>
      <c r="AO80" s="8">
        <f t="shared" si="26"/>
        <v>60489394024</v>
      </c>
      <c r="AP80" s="9">
        <f>AN80+AN84</f>
        <v>125334832930</v>
      </c>
      <c r="AQ80" s="9">
        <f>AO80+AO84</f>
        <v>122743779818</v>
      </c>
    </row>
    <row r="81" spans="12:43" hidden="1">
      <c r="L81" s="194">
        <v>2</v>
      </c>
      <c r="M81" s="219" t="s">
        <v>36</v>
      </c>
      <c r="N81" s="75">
        <v>21185</v>
      </c>
      <c r="O81" s="75">
        <f t="shared" si="27"/>
        <v>21922.311899</v>
      </c>
      <c r="P81" s="208">
        <f t="shared" si="20"/>
        <v>103.48034882700024</v>
      </c>
      <c r="Q81" s="209">
        <f t="shared" si="21"/>
        <v>6</v>
      </c>
      <c r="R81" s="141" t="str">
        <f t="shared" si="22"/>
        <v>0</v>
      </c>
      <c r="S81" s="78">
        <f t="shared" si="28"/>
        <v>1.9799999999999998E-2</v>
      </c>
      <c r="T81" s="210">
        <f t="shared" si="23"/>
        <v>6.0198</v>
      </c>
      <c r="U81" s="211"/>
      <c r="V81" s="206"/>
      <c r="W81" s="206"/>
      <c r="X81" s="206"/>
      <c r="AC81" s="93" t="s">
        <v>18</v>
      </c>
      <c r="AD81" s="4">
        <v>244363605678</v>
      </c>
      <c r="AE81" s="4">
        <v>93564061942</v>
      </c>
      <c r="AF81" s="4">
        <v>0</v>
      </c>
      <c r="AG81" s="4">
        <v>0</v>
      </c>
      <c r="AH81" s="5">
        <v>337927667620</v>
      </c>
      <c r="AI81" s="4">
        <v>243512898368</v>
      </c>
      <c r="AJ81" s="4">
        <v>90119385041</v>
      </c>
      <c r="AK81" s="4">
        <v>0</v>
      </c>
      <c r="AL81" s="4">
        <v>0</v>
      </c>
      <c r="AM81" s="6">
        <v>333632283409</v>
      </c>
      <c r="AN81" s="7">
        <f t="shared" si="25"/>
        <v>90119385041</v>
      </c>
      <c r="AO81" s="7">
        <f t="shared" si="26"/>
        <v>93564061942</v>
      </c>
      <c r="AQ81" s="138">
        <f>AQ80/1000000</f>
        <v>122743.779818</v>
      </c>
    </row>
    <row r="82" spans="12:43" hidden="1">
      <c r="L82" s="194">
        <v>2</v>
      </c>
      <c r="M82" s="219" t="s">
        <v>30</v>
      </c>
      <c r="N82" s="75">
        <v>35182</v>
      </c>
      <c r="O82" s="75">
        <f t="shared" si="27"/>
        <v>36382.531730000002</v>
      </c>
      <c r="P82" s="208">
        <f t="shared" si="20"/>
        <v>103.41234645557388</v>
      </c>
      <c r="Q82" s="209">
        <f t="shared" si="21"/>
        <v>6</v>
      </c>
      <c r="R82" s="141" t="str">
        <f t="shared" si="22"/>
        <v>0</v>
      </c>
      <c r="S82" s="78">
        <f t="shared" si="28"/>
        <v>1.6499999999999997E-2</v>
      </c>
      <c r="T82" s="210">
        <f t="shared" si="23"/>
        <v>6.0164999999999997</v>
      </c>
      <c r="U82" s="211"/>
      <c r="V82" s="206"/>
      <c r="W82" s="206"/>
      <c r="X82" s="206"/>
      <c r="AC82" s="93" t="s">
        <v>12</v>
      </c>
      <c r="AD82" s="4">
        <v>106253741857</v>
      </c>
      <c r="AE82" s="4">
        <v>32653388054</v>
      </c>
      <c r="AF82" s="4">
        <v>0</v>
      </c>
      <c r="AG82" s="4">
        <v>0</v>
      </c>
      <c r="AH82" s="5">
        <v>138907129911</v>
      </c>
      <c r="AI82" s="4">
        <v>102354714098</v>
      </c>
      <c r="AJ82" s="4">
        <v>33724152809</v>
      </c>
      <c r="AK82" s="4">
        <v>0</v>
      </c>
      <c r="AL82" s="4">
        <v>0</v>
      </c>
      <c r="AM82" s="6">
        <v>136078866907</v>
      </c>
      <c r="AN82" s="7">
        <f t="shared" si="25"/>
        <v>33724152809</v>
      </c>
      <c r="AO82" s="7">
        <f t="shared" si="26"/>
        <v>32653388054</v>
      </c>
    </row>
    <row r="83" spans="12:43" hidden="1">
      <c r="L83" s="194">
        <v>2</v>
      </c>
      <c r="M83" s="219" t="s">
        <v>39</v>
      </c>
      <c r="N83" s="75">
        <v>18598</v>
      </c>
      <c r="O83" s="75">
        <f t="shared" si="27"/>
        <v>19006.836189000001</v>
      </c>
      <c r="P83" s="208">
        <f t="shared" si="20"/>
        <v>102.19828040111841</v>
      </c>
      <c r="Q83" s="209">
        <f t="shared" si="21"/>
        <v>6</v>
      </c>
      <c r="R83" s="141" t="str">
        <f t="shared" si="22"/>
        <v>0</v>
      </c>
      <c r="S83" s="78">
        <f t="shared" si="28"/>
        <v>1.3199999999999996E-2</v>
      </c>
      <c r="T83" s="210">
        <f t="shared" si="23"/>
        <v>6.0132000000000003</v>
      </c>
      <c r="U83" s="211"/>
      <c r="V83" s="206"/>
      <c r="W83" s="206"/>
      <c r="X83" s="206"/>
      <c r="AC83" s="93" t="s">
        <v>11</v>
      </c>
      <c r="AD83" s="4">
        <v>245224097399</v>
      </c>
      <c r="AE83" s="4">
        <v>58230007969</v>
      </c>
      <c r="AF83" s="4">
        <v>30557994</v>
      </c>
      <c r="AG83" s="4">
        <v>0</v>
      </c>
      <c r="AH83" s="5">
        <v>303484663362</v>
      </c>
      <c r="AI83" s="4">
        <v>244797462884</v>
      </c>
      <c r="AJ83" s="4">
        <v>57877538155</v>
      </c>
      <c r="AK83" s="4">
        <v>65073800</v>
      </c>
      <c r="AL83" s="4">
        <v>0</v>
      </c>
      <c r="AM83" s="6">
        <v>302740074839</v>
      </c>
      <c r="AN83" s="7">
        <f t="shared" si="25"/>
        <v>57942611955</v>
      </c>
      <c r="AO83" s="7">
        <f t="shared" si="26"/>
        <v>58260565963</v>
      </c>
    </row>
    <row r="84" spans="12:43" hidden="1">
      <c r="L84" s="194">
        <v>2</v>
      </c>
      <c r="M84" s="219" t="s">
        <v>43</v>
      </c>
      <c r="N84" s="75">
        <v>26692</v>
      </c>
      <c r="O84" s="75">
        <f t="shared" si="27"/>
        <v>27137.878205000001</v>
      </c>
      <c r="P84" s="208">
        <f t="shared" si="20"/>
        <v>101.67045633523152</v>
      </c>
      <c r="Q84" s="209">
        <f t="shared" si="21"/>
        <v>6</v>
      </c>
      <c r="R84" s="141" t="str">
        <f t="shared" si="22"/>
        <v>0</v>
      </c>
      <c r="S84" s="78">
        <f t="shared" si="28"/>
        <v>9.8999999999999956E-3</v>
      </c>
      <c r="T84" s="210">
        <f t="shared" si="23"/>
        <v>6.0099</v>
      </c>
      <c r="U84" s="211"/>
      <c r="V84" s="206"/>
      <c r="W84" s="206"/>
      <c r="X84" s="206"/>
      <c r="AC84" s="134" t="s">
        <v>63</v>
      </c>
      <c r="AD84" s="4">
        <v>171430093806</v>
      </c>
      <c r="AE84" s="4">
        <v>62239123024</v>
      </c>
      <c r="AF84" s="4">
        <v>15262770</v>
      </c>
      <c r="AG84" s="4">
        <v>0</v>
      </c>
      <c r="AH84" s="5">
        <v>233684479600</v>
      </c>
      <c r="AI84" s="4">
        <v>155223313110</v>
      </c>
      <c r="AJ84" s="4">
        <v>54165894540</v>
      </c>
      <c r="AK84" s="4">
        <v>7745605</v>
      </c>
      <c r="AL84" s="4">
        <v>0</v>
      </c>
      <c r="AM84" s="6">
        <v>209396953255</v>
      </c>
      <c r="AN84" s="8">
        <f t="shared" si="25"/>
        <v>54173640145</v>
      </c>
      <c r="AO84" s="8">
        <f t="shared" si="26"/>
        <v>62254385794</v>
      </c>
    </row>
    <row r="85" spans="12:43" hidden="1">
      <c r="L85" s="194">
        <v>2</v>
      </c>
      <c r="M85" s="219" t="s">
        <v>38</v>
      </c>
      <c r="N85" s="75">
        <v>20863</v>
      </c>
      <c r="O85" s="75">
        <f t="shared" si="27"/>
        <v>21076.52131</v>
      </c>
      <c r="P85" s="208">
        <f t="shared" si="20"/>
        <v>101.02344490245891</v>
      </c>
      <c r="Q85" s="209">
        <f t="shared" si="21"/>
        <v>6</v>
      </c>
      <c r="R85" s="141" t="str">
        <f t="shared" si="22"/>
        <v>0</v>
      </c>
      <c r="S85" s="78">
        <f t="shared" si="28"/>
        <v>6.5999999999999956E-3</v>
      </c>
      <c r="T85" s="210">
        <f t="shared" si="23"/>
        <v>6.0065999999999997</v>
      </c>
      <c r="U85" s="211"/>
      <c r="V85" s="206"/>
      <c r="W85" s="206"/>
      <c r="X85" s="206"/>
      <c r="AC85" s="93" t="s">
        <v>13</v>
      </c>
      <c r="AD85" s="4">
        <v>216831277403</v>
      </c>
      <c r="AE85" s="4">
        <v>47908116686</v>
      </c>
      <c r="AF85" s="4">
        <v>28718610</v>
      </c>
      <c r="AG85" s="4">
        <v>0</v>
      </c>
      <c r="AH85" s="5">
        <v>264768112699</v>
      </c>
      <c r="AI85" s="4">
        <v>223224224361</v>
      </c>
      <c r="AJ85" s="4">
        <v>44575718809</v>
      </c>
      <c r="AK85" s="4">
        <v>45449154</v>
      </c>
      <c r="AL85" s="4">
        <v>0</v>
      </c>
      <c r="AM85" s="6">
        <v>267845392324</v>
      </c>
      <c r="AN85" s="7">
        <f t="shared" si="25"/>
        <v>44621167963</v>
      </c>
      <c r="AO85" s="7">
        <f t="shared" si="26"/>
        <v>47936835296</v>
      </c>
    </row>
    <row r="86" spans="12:43" hidden="1">
      <c r="L86" s="194">
        <v>2</v>
      </c>
      <c r="M86" s="219" t="s">
        <v>42</v>
      </c>
      <c r="N86" s="75">
        <v>20444</v>
      </c>
      <c r="O86" s="75">
        <f t="shared" si="27"/>
        <v>20602.014917</v>
      </c>
      <c r="P86" s="208">
        <f t="shared" si="20"/>
        <v>100.77291585306203</v>
      </c>
      <c r="Q86" s="209">
        <f t="shared" si="21"/>
        <v>6</v>
      </c>
      <c r="R86" s="141" t="str">
        <f t="shared" si="22"/>
        <v>0</v>
      </c>
      <c r="S86" s="78">
        <f t="shared" si="28"/>
        <v>3.2999999999999956E-3</v>
      </c>
      <c r="T86" s="210">
        <f t="shared" si="23"/>
        <v>6.0033000000000003</v>
      </c>
      <c r="U86" s="211"/>
      <c r="V86" s="206"/>
      <c r="W86" s="206"/>
      <c r="X86" s="206"/>
      <c r="AC86" s="93" t="s">
        <v>14</v>
      </c>
      <c r="AD86" s="4">
        <v>379161151003</v>
      </c>
      <c r="AE86" s="4">
        <v>109276246712</v>
      </c>
      <c r="AF86" s="4">
        <v>3225065024</v>
      </c>
      <c r="AG86" s="4">
        <v>0</v>
      </c>
      <c r="AH86" s="5">
        <v>491662462739</v>
      </c>
      <c r="AI86" s="4">
        <v>376512984881</v>
      </c>
      <c r="AJ86" s="4">
        <v>86609610244</v>
      </c>
      <c r="AK86" s="4">
        <v>4406794682</v>
      </c>
      <c r="AL86" s="4">
        <v>0</v>
      </c>
      <c r="AM86" s="6">
        <v>467529389807</v>
      </c>
      <c r="AN86" s="7">
        <f t="shared" si="25"/>
        <v>91016404926</v>
      </c>
      <c r="AO86" s="7">
        <f t="shared" si="26"/>
        <v>112501311736</v>
      </c>
    </row>
    <row r="87" spans="12:43" hidden="1">
      <c r="L87" s="194">
        <v>2</v>
      </c>
      <c r="M87" s="219" t="s">
        <v>33</v>
      </c>
      <c r="N87" s="75">
        <v>20737</v>
      </c>
      <c r="O87" s="75">
        <f t="shared" si="27"/>
        <v>20683.245212999998</v>
      </c>
      <c r="P87" s="208">
        <f t="shared" si="20"/>
        <v>99.740778381636673</v>
      </c>
      <c r="Q87" s="209">
        <f t="shared" si="21"/>
        <v>5.9844467028982002</v>
      </c>
      <c r="R87" s="141" t="str">
        <f t="shared" si="22"/>
        <v/>
      </c>
      <c r="S87" s="78" t="str">
        <f t="shared" si="28"/>
        <v>0</v>
      </c>
      <c r="T87" s="210">
        <f t="shared" si="23"/>
        <v>5.9844467028982002</v>
      </c>
      <c r="U87" s="211"/>
      <c r="V87" s="206"/>
      <c r="W87" s="206"/>
      <c r="X87" s="206"/>
      <c r="AC87" s="93" t="s">
        <v>16</v>
      </c>
      <c r="AD87" s="4">
        <v>828125426767</v>
      </c>
      <c r="AE87" s="4">
        <v>71940042603</v>
      </c>
      <c r="AF87" s="4">
        <v>0</v>
      </c>
      <c r="AG87" s="4">
        <v>0</v>
      </c>
      <c r="AH87" s="5">
        <v>900065469370</v>
      </c>
      <c r="AI87" s="4">
        <v>756894353920</v>
      </c>
      <c r="AJ87" s="4">
        <v>79205078630</v>
      </c>
      <c r="AK87" s="4">
        <v>0</v>
      </c>
      <c r="AL87" s="4">
        <v>0</v>
      </c>
      <c r="AM87" s="6">
        <v>836099432550</v>
      </c>
      <c r="AN87" s="7">
        <f t="shared" si="25"/>
        <v>79205078630</v>
      </c>
      <c r="AO87" s="7">
        <f t="shared" si="26"/>
        <v>71940042603</v>
      </c>
    </row>
    <row r="88" spans="12:43" hidden="1">
      <c r="L88" s="194">
        <v>2</v>
      </c>
      <c r="M88" s="219" t="s">
        <v>41</v>
      </c>
      <c r="N88" s="75">
        <v>7812</v>
      </c>
      <c r="O88" s="75">
        <f t="shared" si="27"/>
        <v>7433.8155489999999</v>
      </c>
      <c r="P88" s="208">
        <f t="shared" si="20"/>
        <v>95.158929198668702</v>
      </c>
      <c r="Q88" s="209">
        <f t="shared" si="21"/>
        <v>5.7095357519201215</v>
      </c>
      <c r="R88" s="141" t="str">
        <f t="shared" si="22"/>
        <v/>
      </c>
      <c r="S88" s="78" t="str">
        <f t="shared" si="28"/>
        <v>0</v>
      </c>
      <c r="T88" s="210">
        <f t="shared" si="23"/>
        <v>5.7095357519201215</v>
      </c>
      <c r="U88" s="211"/>
      <c r="V88" s="206"/>
      <c r="W88" s="206"/>
      <c r="X88" s="206"/>
      <c r="AC88" s="93" t="s">
        <v>19</v>
      </c>
      <c r="AD88" s="4">
        <v>268567661536</v>
      </c>
      <c r="AE88" s="4">
        <v>52810703288</v>
      </c>
      <c r="AF88" s="4">
        <v>0</v>
      </c>
      <c r="AG88" s="4">
        <v>0</v>
      </c>
      <c r="AH88" s="5">
        <v>321378364824</v>
      </c>
      <c r="AI88" s="4">
        <v>265569381982</v>
      </c>
      <c r="AJ88" s="4">
        <v>54536782916</v>
      </c>
      <c r="AK88" s="4">
        <v>0</v>
      </c>
      <c r="AL88" s="4">
        <v>0</v>
      </c>
      <c r="AM88" s="6">
        <v>320106164898</v>
      </c>
      <c r="AN88" s="7">
        <f t="shared" si="25"/>
        <v>54536782916</v>
      </c>
      <c r="AO88" s="7">
        <f t="shared" si="26"/>
        <v>52810703288</v>
      </c>
    </row>
    <row r="89" spans="12:43" hidden="1">
      <c r="L89" s="194">
        <v>2</v>
      </c>
      <c r="M89" s="219" t="s">
        <v>31</v>
      </c>
      <c r="N89" s="75">
        <v>25162</v>
      </c>
      <c r="O89" s="75">
        <f t="shared" si="27"/>
        <v>23543.679889999999</v>
      </c>
      <c r="P89" s="208">
        <f t="shared" si="20"/>
        <v>93.568396351641354</v>
      </c>
      <c r="Q89" s="209">
        <f t="shared" si="21"/>
        <v>5.6141037810984811</v>
      </c>
      <c r="R89" s="141" t="str">
        <f t="shared" si="22"/>
        <v/>
      </c>
      <c r="S89" s="78" t="str">
        <f t="shared" si="28"/>
        <v>0</v>
      </c>
      <c r="T89" s="210">
        <f t="shared" si="23"/>
        <v>5.6141037810984811</v>
      </c>
      <c r="U89" s="211"/>
      <c r="V89" s="206"/>
      <c r="W89" s="206"/>
      <c r="X89" s="206"/>
      <c r="AC89" s="93" t="s">
        <v>5</v>
      </c>
      <c r="AD89" s="4">
        <v>189414555839</v>
      </c>
      <c r="AE89" s="4">
        <v>57929504963</v>
      </c>
      <c r="AF89" s="4">
        <v>22308229</v>
      </c>
      <c r="AG89" s="4">
        <v>0</v>
      </c>
      <c r="AH89" s="5">
        <v>247366369031</v>
      </c>
      <c r="AI89" s="4">
        <v>185143512533</v>
      </c>
      <c r="AJ89" s="4">
        <v>57008245989</v>
      </c>
      <c r="AK89" s="4">
        <v>41112207</v>
      </c>
      <c r="AL89" s="4">
        <v>0</v>
      </c>
      <c r="AM89" s="6">
        <v>242192870729</v>
      </c>
      <c r="AN89" s="7">
        <f t="shared" si="25"/>
        <v>57049358196</v>
      </c>
      <c r="AO89" s="7">
        <f t="shared" si="26"/>
        <v>57951813192</v>
      </c>
    </row>
    <row r="90" spans="12:43" ht="17.25" hidden="1" thickBot="1">
      <c r="M90" s="220" t="s">
        <v>142</v>
      </c>
      <c r="N90" s="221">
        <v>1943900</v>
      </c>
      <c r="O90" s="221"/>
      <c r="P90" s="221"/>
      <c r="Q90" s="222"/>
      <c r="R90" s="223"/>
      <c r="S90" s="222"/>
      <c r="T90" s="224"/>
      <c r="U90" s="225"/>
      <c r="V90" s="226"/>
      <c r="W90" s="226"/>
      <c r="X90" s="226"/>
      <c r="AC90" s="93" t="s">
        <v>17</v>
      </c>
      <c r="AD90" s="4">
        <v>367839571466</v>
      </c>
      <c r="AE90" s="4">
        <v>107483246588</v>
      </c>
      <c r="AF90" s="4">
        <v>0</v>
      </c>
      <c r="AG90" s="4">
        <v>500</v>
      </c>
      <c r="AH90" s="5">
        <v>475322818554</v>
      </c>
      <c r="AI90" s="4">
        <v>359226122828</v>
      </c>
      <c r="AJ90" s="4">
        <v>106882271410</v>
      </c>
      <c r="AK90" s="4">
        <v>0</v>
      </c>
      <c r="AL90" s="4">
        <v>352065</v>
      </c>
      <c r="AM90" s="6">
        <v>466108746303</v>
      </c>
      <c r="AN90" s="7">
        <f t="shared" si="25"/>
        <v>106882623475</v>
      </c>
      <c r="AO90" s="7">
        <f t="shared" si="26"/>
        <v>107483247088</v>
      </c>
    </row>
    <row r="91" spans="12:43" hidden="1">
      <c r="AC91" s="93" t="s">
        <v>20</v>
      </c>
      <c r="AD91" s="4">
        <v>217711779240</v>
      </c>
      <c r="AE91" s="4">
        <v>55360002205</v>
      </c>
      <c r="AF91" s="4">
        <v>0</v>
      </c>
      <c r="AG91" s="4">
        <v>0</v>
      </c>
      <c r="AH91" s="5">
        <v>273071781445</v>
      </c>
      <c r="AI91" s="4">
        <v>213689778496</v>
      </c>
      <c r="AJ91" s="4">
        <v>51208674580</v>
      </c>
      <c r="AK91" s="4">
        <v>0</v>
      </c>
      <c r="AL91" s="4">
        <v>0</v>
      </c>
      <c r="AM91" s="6">
        <v>264898453076</v>
      </c>
      <c r="AN91" s="7">
        <f t="shared" si="25"/>
        <v>51208674580</v>
      </c>
      <c r="AO91" s="7">
        <f t="shared" si="26"/>
        <v>55360002205</v>
      </c>
    </row>
    <row r="92" spans="12:43" hidden="1">
      <c r="AC92" s="93" t="s">
        <v>6</v>
      </c>
      <c r="AD92" s="4">
        <v>140728042018</v>
      </c>
      <c r="AE92" s="4">
        <v>43587343910</v>
      </c>
      <c r="AF92" s="4">
        <v>28159162</v>
      </c>
      <c r="AG92" s="4">
        <v>0</v>
      </c>
      <c r="AH92" s="5">
        <v>184343545090</v>
      </c>
      <c r="AI92" s="4">
        <v>136317679188</v>
      </c>
      <c r="AJ92" s="4">
        <v>39416869102</v>
      </c>
      <c r="AK92" s="4">
        <v>49297707</v>
      </c>
      <c r="AL92" s="4">
        <v>0</v>
      </c>
      <c r="AM92" s="6">
        <v>175783845997</v>
      </c>
      <c r="AN92" s="7">
        <f t="shared" si="25"/>
        <v>39466166809</v>
      </c>
      <c r="AO92" s="7">
        <f t="shared" si="26"/>
        <v>43615503072</v>
      </c>
    </row>
    <row r="93" spans="12:43" hidden="1">
      <c r="AC93" s="93" t="s">
        <v>23</v>
      </c>
      <c r="AD93" s="4">
        <v>271060717599</v>
      </c>
      <c r="AE93" s="4">
        <v>40321239597</v>
      </c>
      <c r="AF93" s="4">
        <v>18455060</v>
      </c>
      <c r="AG93" s="4">
        <v>0</v>
      </c>
      <c r="AH93" s="5">
        <v>311400412256</v>
      </c>
      <c r="AI93" s="4">
        <v>267756121479</v>
      </c>
      <c r="AJ93" s="4">
        <v>39557350326</v>
      </c>
      <c r="AK93" s="4">
        <v>39308865</v>
      </c>
      <c r="AL93" s="4">
        <v>0</v>
      </c>
      <c r="AM93" s="6">
        <v>307352780670</v>
      </c>
      <c r="AN93" s="7">
        <f t="shared" si="25"/>
        <v>39596659191</v>
      </c>
      <c r="AO93" s="7">
        <f t="shared" si="26"/>
        <v>40339694657</v>
      </c>
    </row>
    <row r="94" spans="12:43" hidden="1">
      <c r="AC94" s="93" t="s">
        <v>24</v>
      </c>
      <c r="AD94" s="4">
        <v>117059604299</v>
      </c>
      <c r="AE94" s="4">
        <v>35554603026</v>
      </c>
      <c r="AF94" s="4">
        <v>0</v>
      </c>
      <c r="AG94" s="4">
        <v>0</v>
      </c>
      <c r="AH94" s="5">
        <v>152614207325</v>
      </c>
      <c r="AI94" s="4">
        <v>117249996780</v>
      </c>
      <c r="AJ94" s="4">
        <v>36065636214</v>
      </c>
      <c r="AK94" s="4">
        <v>0</v>
      </c>
      <c r="AL94" s="4">
        <v>0</v>
      </c>
      <c r="AM94" s="6">
        <v>153315632994</v>
      </c>
      <c r="AN94" s="7">
        <f t="shared" si="25"/>
        <v>36065636214</v>
      </c>
      <c r="AO94" s="7">
        <f t="shared" si="26"/>
        <v>35554603026</v>
      </c>
    </row>
    <row r="95" spans="12:43" hidden="1">
      <c r="AC95" s="93" t="s">
        <v>27</v>
      </c>
      <c r="AD95" s="4">
        <v>172401095931</v>
      </c>
      <c r="AE95" s="4">
        <v>55584474332</v>
      </c>
      <c r="AF95" s="4">
        <v>0</v>
      </c>
      <c r="AG95" s="4">
        <v>0</v>
      </c>
      <c r="AH95" s="5">
        <v>227985570263</v>
      </c>
      <c r="AI95" s="4">
        <v>168968526428</v>
      </c>
      <c r="AJ95" s="4">
        <v>52443788095</v>
      </c>
      <c r="AK95" s="4">
        <v>0</v>
      </c>
      <c r="AL95" s="4">
        <v>0</v>
      </c>
      <c r="AM95" s="6">
        <v>221412314523</v>
      </c>
      <c r="AN95" s="7">
        <f t="shared" si="25"/>
        <v>52443788095</v>
      </c>
      <c r="AO95" s="7">
        <f t="shared" si="26"/>
        <v>55584474332</v>
      </c>
    </row>
    <row r="96" spans="12:43" hidden="1">
      <c r="AC96" s="197" t="s">
        <v>142</v>
      </c>
      <c r="AD96" s="5">
        <v>7530542671603</v>
      </c>
      <c r="AE96" s="5">
        <v>2065537183005</v>
      </c>
      <c r="AF96" s="5">
        <v>3867928323</v>
      </c>
      <c r="AG96" s="5">
        <v>123001</v>
      </c>
      <c r="AH96" s="5">
        <v>9599947905932</v>
      </c>
      <c r="AI96" s="5">
        <v>7412166676000</v>
      </c>
      <c r="AJ96" s="5">
        <v>1983701055225</v>
      </c>
      <c r="AK96" s="5">
        <v>5305726309</v>
      </c>
      <c r="AL96" s="5">
        <v>1106386</v>
      </c>
      <c r="AM96" s="6">
        <v>9401174563920</v>
      </c>
      <c r="AN96" s="7">
        <f t="shared" si="25"/>
        <v>1989007887920</v>
      </c>
      <c r="AO96" s="7">
        <f t="shared" si="26"/>
        <v>2069405234329</v>
      </c>
    </row>
    <row r="97" spans="30:39">
      <c r="AD97" s="5">
        <v>7530542671603</v>
      </c>
      <c r="AE97" s="5">
        <v>2065537183005</v>
      </c>
      <c r="AF97" s="5">
        <v>3867928323</v>
      </c>
      <c r="AG97" s="5">
        <v>123001</v>
      </c>
      <c r="AH97" s="5">
        <v>9599947905932</v>
      </c>
      <c r="AI97" s="5">
        <v>7412166676000</v>
      </c>
      <c r="AJ97" s="5">
        <v>1983701055225</v>
      </c>
      <c r="AK97" s="5">
        <v>5305726309</v>
      </c>
      <c r="AL97" s="5">
        <v>1106386</v>
      </c>
      <c r="AM97" s="6">
        <v>9401174563920</v>
      </c>
    </row>
  </sheetData>
  <mergeCells count="21">
    <mergeCell ref="A1:Z2"/>
    <mergeCell ref="V3:Z3"/>
    <mergeCell ref="A4:A5"/>
    <mergeCell ref="C4:C5"/>
    <mergeCell ref="D4:K4"/>
    <mergeCell ref="L4:L5"/>
    <mergeCell ref="M4:M5"/>
    <mergeCell ref="N4:Z4"/>
    <mergeCell ref="AC6:AC7"/>
    <mergeCell ref="AD6:AH6"/>
    <mergeCell ref="AI6:AM6"/>
    <mergeCell ref="A14:A23"/>
    <mergeCell ref="AI53:AM53"/>
    <mergeCell ref="A34:A39"/>
    <mergeCell ref="A40:A45"/>
    <mergeCell ref="M48:M49"/>
    <mergeCell ref="N48:U48"/>
    <mergeCell ref="AC53:AC54"/>
    <mergeCell ref="AD53:AH53"/>
    <mergeCell ref="A24:A33"/>
    <mergeCell ref="A6:A1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X93"/>
  <sheetViews>
    <sheetView workbookViewId="0">
      <selection activeCell="D27" sqref="D27"/>
    </sheetView>
  </sheetViews>
  <sheetFormatPr defaultColWidth="9" defaultRowHeight="16.5"/>
  <cols>
    <col min="1" max="1" width="9.75" style="44" bestFit="1" customWidth="1"/>
    <col min="2" max="3" width="10.5" style="44" bestFit="1" customWidth="1"/>
    <col min="4" max="4" width="9.625" style="44" bestFit="1" customWidth="1"/>
    <col min="5" max="5" width="8.5" style="44" bestFit="1" customWidth="1"/>
    <col min="6" max="7" width="10" style="44" bestFit="1" customWidth="1"/>
    <col min="8" max="8" width="6.75" style="44" bestFit="1" customWidth="1"/>
    <col min="9" max="9" width="7.5" style="44" bestFit="1" customWidth="1"/>
    <col min="10" max="10" width="8.125" style="44" bestFit="1" customWidth="1"/>
    <col min="11" max="11" width="8.5" style="44" bestFit="1" customWidth="1"/>
    <col min="12" max="12" width="9.5" style="44" bestFit="1" customWidth="1"/>
    <col min="13" max="13" width="7.25" style="269" bestFit="1" customWidth="1"/>
    <col min="14" max="14" width="9" style="44" hidden="1" customWidth="1"/>
    <col min="15" max="15" width="5.25" style="44" hidden="1" customWidth="1"/>
    <col min="16" max="16" width="6" style="44" hidden="1" customWidth="1"/>
    <col min="17" max="17" width="12.375" style="44" hidden="1" customWidth="1"/>
    <col min="18" max="18" width="11.375" style="44" hidden="1" customWidth="1"/>
    <col min="19" max="19" width="9" style="44" hidden="1" customWidth="1"/>
    <col min="20" max="20" width="6" style="44" hidden="1" customWidth="1"/>
    <col min="21" max="21" width="11.875" style="44" hidden="1" customWidth="1"/>
    <col min="22" max="22" width="10.25" style="44" hidden="1" customWidth="1"/>
    <col min="23" max="24" width="9" style="44" hidden="1" customWidth="1"/>
    <col min="25" max="25" width="9" style="44" customWidth="1"/>
    <col min="26" max="16384" width="9" style="44"/>
  </cols>
  <sheetData>
    <row r="1" spans="1:21" ht="31.5">
      <c r="A1" s="506" t="s">
        <v>147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</row>
    <row r="2" spans="1:21" ht="17.25" thickBot="1">
      <c r="A2" s="227">
        <f>[1]종합점수!A2</f>
        <v>42338</v>
      </c>
      <c r="L2" s="507" t="s">
        <v>148</v>
      </c>
      <c r="M2" s="507"/>
      <c r="O2" s="44" t="s">
        <v>149</v>
      </c>
      <c r="S2" s="44" t="s">
        <v>149</v>
      </c>
    </row>
    <row r="3" spans="1:21">
      <c r="A3" s="508" t="s">
        <v>64</v>
      </c>
      <c r="B3" s="510" t="s">
        <v>65</v>
      </c>
      <c r="C3" s="511"/>
      <c r="D3" s="511"/>
      <c r="E3" s="228"/>
      <c r="F3" s="512" t="s">
        <v>66</v>
      </c>
      <c r="G3" s="511"/>
      <c r="H3" s="511"/>
      <c r="I3" s="511"/>
      <c r="J3" s="513"/>
      <c r="K3" s="514" t="s">
        <v>150</v>
      </c>
      <c r="L3" s="516" t="s">
        <v>151</v>
      </c>
      <c r="M3" s="518" t="s">
        <v>0</v>
      </c>
      <c r="O3" s="44" t="s">
        <v>152</v>
      </c>
      <c r="S3" s="44" t="s">
        <v>153</v>
      </c>
    </row>
    <row r="4" spans="1:21" ht="24.75" thickBot="1">
      <c r="A4" s="509"/>
      <c r="B4" s="229" t="s">
        <v>1</v>
      </c>
      <c r="C4" s="229" t="s">
        <v>2</v>
      </c>
      <c r="D4" s="229" t="s">
        <v>3</v>
      </c>
      <c r="E4" s="230" t="s">
        <v>154</v>
      </c>
      <c r="F4" s="231" t="s">
        <v>155</v>
      </c>
      <c r="G4" s="230" t="s">
        <v>156</v>
      </c>
      <c r="H4" s="230" t="s">
        <v>154</v>
      </c>
      <c r="I4" s="232" t="s">
        <v>157</v>
      </c>
      <c r="J4" s="233" t="s">
        <v>158</v>
      </c>
      <c r="K4" s="515"/>
      <c r="L4" s="517"/>
      <c r="M4" s="519"/>
      <c r="O4" s="234"/>
      <c r="P4" s="235" t="s">
        <v>68</v>
      </c>
      <c r="Q4" s="236" t="s">
        <v>69</v>
      </c>
      <c r="S4" s="237"/>
      <c r="T4" s="238" t="s">
        <v>68</v>
      </c>
      <c r="U4" s="236" t="s">
        <v>70</v>
      </c>
    </row>
    <row r="5" spans="1:21" ht="20.100000000000001" customHeight="1">
      <c r="A5" s="239" t="s">
        <v>4</v>
      </c>
      <c r="B5" s="240">
        <v>302599</v>
      </c>
      <c r="C5" s="241">
        <f t="shared" ref="C5:C30" si="0">VLOOKUP(A5,$O$5:$Q$45,3,FALSE)/1000</f>
        <v>354989.91399999999</v>
      </c>
      <c r="D5" s="242">
        <f t="shared" ref="D5:D45" si="1">C5/B5%</f>
        <v>117.31364412968979</v>
      </c>
      <c r="E5" s="243">
        <f t="shared" ref="E5:E30" si="2">(VLOOKUP(A5,$O$5:$Q$45,3,FALSE)-VLOOKUP(A5,$O$51:$Q$91,3,FALSE))/1000</f>
        <v>1293.402</v>
      </c>
      <c r="F5" s="244">
        <f t="shared" ref="F5:F30" si="3">VLOOKUP(A5,$S$5:$U$45,3,FALSE)/1000</f>
        <v>18850.593000000001</v>
      </c>
      <c r="G5" s="245">
        <f t="shared" ref="G5:G45" si="4">F5/C5%</f>
        <v>5.3101770660447558</v>
      </c>
      <c r="H5" s="243">
        <f t="shared" ref="H5:H30" si="5">(VLOOKUP(A5,$S$5:$U$45,3,FALSE)-VLOOKUP(A5,$S$51:$U$91,3,FALSE))/1000</f>
        <v>85.078000000000003</v>
      </c>
      <c r="I5" s="246">
        <f t="shared" ref="I5:I44" si="6">IF(G5&gt;6,0,0.0013)</f>
        <v>1.2999999999999999E-3</v>
      </c>
      <c r="J5" s="247">
        <f t="shared" ref="J5:J44" si="7">IF(G5&gt;6,0,0.03)</f>
        <v>0.03</v>
      </c>
      <c r="K5" s="248">
        <f t="shared" ref="K5:K44" si="8">IF(D5&gt;=100,4,D5*0.04)-I5</f>
        <v>3.9986999999999999</v>
      </c>
      <c r="L5" s="248">
        <f t="shared" ref="L5:L44" si="9">IF(D5&gt;=100,30,D5*0.3)-J5</f>
        <v>29.97</v>
      </c>
      <c r="M5" s="249">
        <f t="shared" ref="M5:M44" si="10">RANK(L5,$L$5:$L$44)</f>
        <v>1</v>
      </c>
      <c r="O5" s="504" t="s">
        <v>25</v>
      </c>
      <c r="P5" s="505"/>
      <c r="Q5" s="10">
        <v>307147882</v>
      </c>
      <c r="S5" s="504" t="s">
        <v>25</v>
      </c>
      <c r="T5" s="505"/>
      <c r="U5" s="10">
        <v>23129052</v>
      </c>
    </row>
    <row r="6" spans="1:21" ht="20.100000000000001" customHeight="1">
      <c r="A6" s="250" t="s">
        <v>22</v>
      </c>
      <c r="B6" s="251">
        <v>146150</v>
      </c>
      <c r="C6" s="252">
        <f t="shared" si="0"/>
        <v>142477.84899999999</v>
      </c>
      <c r="D6" s="253">
        <f t="shared" si="1"/>
        <v>97.487409510776587</v>
      </c>
      <c r="E6" s="243">
        <f t="shared" si="2"/>
        <v>502.31700000000001</v>
      </c>
      <c r="F6" s="254">
        <f t="shared" si="3"/>
        <v>7833.5810000000001</v>
      </c>
      <c r="G6" s="255">
        <f t="shared" si="4"/>
        <v>5.4981044807884487</v>
      </c>
      <c r="H6" s="243">
        <f t="shared" si="5"/>
        <v>24.207999999999998</v>
      </c>
      <c r="I6" s="246">
        <f t="shared" si="6"/>
        <v>1.2999999999999999E-3</v>
      </c>
      <c r="J6" s="256">
        <f t="shared" si="7"/>
        <v>0.03</v>
      </c>
      <c r="K6" s="257">
        <f t="shared" si="8"/>
        <v>3.8981963804310635</v>
      </c>
      <c r="L6" s="257">
        <f t="shared" si="9"/>
        <v>29.216222853232974</v>
      </c>
      <c r="M6" s="258">
        <f t="shared" si="10"/>
        <v>2</v>
      </c>
      <c r="O6" s="498" t="s">
        <v>4</v>
      </c>
      <c r="P6" s="499"/>
      <c r="Q6" s="10">
        <v>354989914</v>
      </c>
      <c r="S6" s="498" t="s">
        <v>4</v>
      </c>
      <c r="T6" s="499"/>
      <c r="U6" s="10">
        <v>18850593</v>
      </c>
    </row>
    <row r="7" spans="1:21" ht="20.100000000000001" customHeight="1">
      <c r="A7" s="250" t="s">
        <v>18</v>
      </c>
      <c r="B7" s="251">
        <v>492000</v>
      </c>
      <c r="C7" s="252">
        <f t="shared" si="0"/>
        <v>467915.03700000001</v>
      </c>
      <c r="D7" s="253">
        <f t="shared" si="1"/>
        <v>95.10468231707317</v>
      </c>
      <c r="E7" s="243">
        <f t="shared" si="2"/>
        <v>1851.85</v>
      </c>
      <c r="F7" s="254">
        <f t="shared" si="3"/>
        <v>24117.692999999999</v>
      </c>
      <c r="G7" s="255">
        <f t="shared" si="4"/>
        <v>5.1542889398529841</v>
      </c>
      <c r="H7" s="243">
        <f t="shared" si="5"/>
        <v>131.203</v>
      </c>
      <c r="I7" s="246">
        <f t="shared" si="6"/>
        <v>1.2999999999999999E-3</v>
      </c>
      <c r="J7" s="256">
        <f t="shared" si="7"/>
        <v>0.03</v>
      </c>
      <c r="K7" s="257">
        <f t="shared" si="8"/>
        <v>3.8028872926829269</v>
      </c>
      <c r="L7" s="257">
        <f t="shared" si="9"/>
        <v>28.501404695121948</v>
      </c>
      <c r="M7" s="258">
        <f t="shared" si="10"/>
        <v>3</v>
      </c>
      <c r="O7" s="498" t="s">
        <v>8</v>
      </c>
      <c r="P7" s="499"/>
      <c r="Q7" s="10">
        <v>243526584</v>
      </c>
      <c r="S7" s="498" t="s">
        <v>8</v>
      </c>
      <c r="T7" s="499"/>
      <c r="U7" s="10">
        <v>22182805</v>
      </c>
    </row>
    <row r="8" spans="1:21" ht="20.100000000000001" customHeight="1">
      <c r="A8" s="250" t="s">
        <v>41</v>
      </c>
      <c r="B8" s="251">
        <v>36364</v>
      </c>
      <c r="C8" s="252">
        <f t="shared" si="0"/>
        <v>34004.855000000003</v>
      </c>
      <c r="D8" s="253">
        <f t="shared" si="1"/>
        <v>93.512416125838755</v>
      </c>
      <c r="E8" s="243">
        <f t="shared" si="2"/>
        <v>96.575000000000003</v>
      </c>
      <c r="F8" s="254">
        <f t="shared" si="3"/>
        <v>2131.223</v>
      </c>
      <c r="G8" s="255">
        <f t="shared" si="4"/>
        <v>6.2674079921822923</v>
      </c>
      <c r="H8" s="243">
        <f t="shared" si="5"/>
        <v>5.4139999999999997</v>
      </c>
      <c r="I8" s="246">
        <f t="shared" si="6"/>
        <v>0</v>
      </c>
      <c r="J8" s="256">
        <f t="shared" si="7"/>
        <v>0</v>
      </c>
      <c r="K8" s="257">
        <f t="shared" si="8"/>
        <v>3.7404966450335504</v>
      </c>
      <c r="L8" s="257">
        <f t="shared" si="9"/>
        <v>28.053724837751627</v>
      </c>
      <c r="M8" s="258">
        <f t="shared" si="10"/>
        <v>4</v>
      </c>
      <c r="O8" s="498" t="s">
        <v>40</v>
      </c>
      <c r="P8" s="499"/>
      <c r="Q8" s="10">
        <v>86049725</v>
      </c>
      <c r="S8" s="498" t="s">
        <v>40</v>
      </c>
      <c r="T8" s="499"/>
      <c r="U8" s="10">
        <v>7541705</v>
      </c>
    </row>
    <row r="9" spans="1:21" ht="20.100000000000001" customHeight="1">
      <c r="A9" s="250" t="s">
        <v>39</v>
      </c>
      <c r="B9" s="251">
        <v>67040</v>
      </c>
      <c r="C9" s="252">
        <f t="shared" si="0"/>
        <v>60915.326000000001</v>
      </c>
      <c r="D9" s="253">
        <f t="shared" si="1"/>
        <v>90.86414976133652</v>
      </c>
      <c r="E9" s="243">
        <f t="shared" si="2"/>
        <v>292.11200000000002</v>
      </c>
      <c r="F9" s="254">
        <f t="shared" si="3"/>
        <v>4135.5810000000001</v>
      </c>
      <c r="G9" s="255">
        <f t="shared" si="4"/>
        <v>6.7890648734277477</v>
      </c>
      <c r="H9" s="243">
        <f t="shared" si="5"/>
        <v>32.78</v>
      </c>
      <c r="I9" s="246">
        <f t="shared" si="6"/>
        <v>0</v>
      </c>
      <c r="J9" s="256">
        <f t="shared" si="7"/>
        <v>0</v>
      </c>
      <c r="K9" s="257">
        <f t="shared" si="8"/>
        <v>3.6345659904534608</v>
      </c>
      <c r="L9" s="257">
        <f t="shared" si="9"/>
        <v>27.259244928400957</v>
      </c>
      <c r="M9" s="258">
        <f t="shared" si="10"/>
        <v>5</v>
      </c>
      <c r="O9" s="498" t="s">
        <v>37</v>
      </c>
      <c r="P9" s="499"/>
      <c r="Q9" s="10">
        <v>105741680</v>
      </c>
      <c r="S9" s="498" t="s">
        <v>37</v>
      </c>
      <c r="T9" s="499"/>
      <c r="U9" s="10">
        <v>9808429</v>
      </c>
    </row>
    <row r="10" spans="1:21" ht="20.100000000000001" customHeight="1">
      <c r="A10" s="250" t="s">
        <v>32</v>
      </c>
      <c r="B10" s="251">
        <v>101103</v>
      </c>
      <c r="C10" s="252">
        <f t="shared" si="0"/>
        <v>91075.697</v>
      </c>
      <c r="D10" s="253">
        <f t="shared" si="1"/>
        <v>90.082091530419476</v>
      </c>
      <c r="E10" s="243">
        <f t="shared" si="2"/>
        <v>307.81200000000001</v>
      </c>
      <c r="F10" s="254">
        <f t="shared" si="3"/>
        <v>6695.6440000000002</v>
      </c>
      <c r="G10" s="255">
        <f t="shared" si="4"/>
        <v>7.3517351176571291</v>
      </c>
      <c r="H10" s="243">
        <f t="shared" si="5"/>
        <v>31.724</v>
      </c>
      <c r="I10" s="246">
        <f t="shared" si="6"/>
        <v>0</v>
      </c>
      <c r="J10" s="256">
        <f t="shared" si="7"/>
        <v>0</v>
      </c>
      <c r="K10" s="257">
        <f t="shared" si="8"/>
        <v>3.6032836612167789</v>
      </c>
      <c r="L10" s="257">
        <f t="shared" si="9"/>
        <v>27.024627459125842</v>
      </c>
      <c r="M10" s="258">
        <f t="shared" si="10"/>
        <v>6</v>
      </c>
      <c r="O10" s="498" t="s">
        <v>33</v>
      </c>
      <c r="P10" s="499"/>
      <c r="Q10" s="10">
        <v>75408706</v>
      </c>
      <c r="S10" s="498" t="s">
        <v>33</v>
      </c>
      <c r="T10" s="499"/>
      <c r="U10" s="10">
        <v>5337693</v>
      </c>
    </row>
    <row r="11" spans="1:21" ht="20.100000000000001" customHeight="1">
      <c r="A11" s="250" t="s">
        <v>31</v>
      </c>
      <c r="B11" s="251">
        <v>63300</v>
      </c>
      <c r="C11" s="252">
        <f t="shared" si="0"/>
        <v>55861.654000000002</v>
      </c>
      <c r="D11" s="253">
        <f t="shared" si="1"/>
        <v>88.249058451816751</v>
      </c>
      <c r="E11" s="243">
        <f t="shared" si="2"/>
        <v>176.54900000000001</v>
      </c>
      <c r="F11" s="254">
        <f t="shared" si="3"/>
        <v>3269.5610000000001</v>
      </c>
      <c r="G11" s="255">
        <f t="shared" si="4"/>
        <v>5.8529613176151214</v>
      </c>
      <c r="H11" s="243">
        <f t="shared" si="5"/>
        <v>19.082999999999998</v>
      </c>
      <c r="I11" s="246">
        <f t="shared" si="6"/>
        <v>1.2999999999999999E-3</v>
      </c>
      <c r="J11" s="256">
        <f t="shared" si="7"/>
        <v>0.03</v>
      </c>
      <c r="K11" s="257">
        <f t="shared" si="8"/>
        <v>3.52866233807267</v>
      </c>
      <c r="L11" s="257">
        <f t="shared" si="9"/>
        <v>26.444717535545024</v>
      </c>
      <c r="M11" s="258">
        <f t="shared" si="10"/>
        <v>7</v>
      </c>
      <c r="O11" s="498" t="s">
        <v>28</v>
      </c>
      <c r="P11" s="499"/>
      <c r="Q11" s="10">
        <v>175614124</v>
      </c>
      <c r="S11" s="498" t="s">
        <v>28</v>
      </c>
      <c r="T11" s="499"/>
      <c r="U11" s="10">
        <v>14831296</v>
      </c>
    </row>
    <row r="12" spans="1:21" ht="20.100000000000001" customHeight="1">
      <c r="A12" s="250" t="s">
        <v>6</v>
      </c>
      <c r="B12" s="251">
        <v>166288</v>
      </c>
      <c r="C12" s="252">
        <f t="shared" si="0"/>
        <v>146374.66699999999</v>
      </c>
      <c r="D12" s="253">
        <f t="shared" si="1"/>
        <v>88.024792528625028</v>
      </c>
      <c r="E12" s="243">
        <f t="shared" si="2"/>
        <v>439.661</v>
      </c>
      <c r="F12" s="254">
        <f t="shared" si="3"/>
        <v>10780.125</v>
      </c>
      <c r="G12" s="255">
        <f t="shared" si="4"/>
        <v>7.3647477537899384</v>
      </c>
      <c r="H12" s="243">
        <f t="shared" si="5"/>
        <v>75.384</v>
      </c>
      <c r="I12" s="246">
        <f t="shared" si="6"/>
        <v>0</v>
      </c>
      <c r="J12" s="256">
        <f t="shared" si="7"/>
        <v>0</v>
      </c>
      <c r="K12" s="257">
        <f t="shared" si="8"/>
        <v>3.5209917011450012</v>
      </c>
      <c r="L12" s="257">
        <f t="shared" si="9"/>
        <v>26.407437758587509</v>
      </c>
      <c r="M12" s="258">
        <f t="shared" si="10"/>
        <v>8</v>
      </c>
      <c r="O12" s="498" t="s">
        <v>31</v>
      </c>
      <c r="P12" s="499"/>
      <c r="Q12" s="10">
        <v>55861654</v>
      </c>
      <c r="S12" s="498" t="s">
        <v>31</v>
      </c>
      <c r="T12" s="499"/>
      <c r="U12" s="10">
        <v>3269561</v>
      </c>
    </row>
    <row r="13" spans="1:21" ht="20.100000000000001" customHeight="1">
      <c r="A13" s="250" t="s">
        <v>16</v>
      </c>
      <c r="B13" s="251">
        <v>169310</v>
      </c>
      <c r="C13" s="252">
        <f t="shared" si="0"/>
        <v>148377.446</v>
      </c>
      <c r="D13" s="253">
        <f t="shared" si="1"/>
        <v>87.63655188707105</v>
      </c>
      <c r="E13" s="243">
        <f t="shared" si="2"/>
        <v>517.91200000000003</v>
      </c>
      <c r="F13" s="254">
        <f t="shared" si="3"/>
        <v>11467.745999999999</v>
      </c>
      <c r="G13" s="255">
        <f t="shared" si="4"/>
        <v>7.7287662708522431</v>
      </c>
      <c r="H13" s="243">
        <f t="shared" si="5"/>
        <v>47.116999999999997</v>
      </c>
      <c r="I13" s="246">
        <f t="shared" si="6"/>
        <v>0</v>
      </c>
      <c r="J13" s="256">
        <f t="shared" si="7"/>
        <v>0</v>
      </c>
      <c r="K13" s="257">
        <f t="shared" si="8"/>
        <v>3.5054620754828423</v>
      </c>
      <c r="L13" s="257">
        <f t="shared" si="9"/>
        <v>26.290965566121315</v>
      </c>
      <c r="M13" s="258">
        <f t="shared" si="10"/>
        <v>9</v>
      </c>
      <c r="O13" s="498" t="s">
        <v>32</v>
      </c>
      <c r="P13" s="499"/>
      <c r="Q13" s="10">
        <v>91075697</v>
      </c>
      <c r="S13" s="498" t="s">
        <v>32</v>
      </c>
      <c r="T13" s="499"/>
      <c r="U13" s="10">
        <v>6695644</v>
      </c>
    </row>
    <row r="14" spans="1:21" ht="20.100000000000001" customHeight="1">
      <c r="A14" s="250" t="s">
        <v>11</v>
      </c>
      <c r="B14" s="251">
        <v>190112</v>
      </c>
      <c r="C14" s="252">
        <f t="shared" si="0"/>
        <v>166320.068</v>
      </c>
      <c r="D14" s="253">
        <f t="shared" si="1"/>
        <v>87.485307608146783</v>
      </c>
      <c r="E14" s="243">
        <f t="shared" si="2"/>
        <v>526.178</v>
      </c>
      <c r="F14" s="254">
        <f t="shared" si="3"/>
        <v>13655.182000000001</v>
      </c>
      <c r="G14" s="255">
        <f t="shared" si="4"/>
        <v>8.2101830309497004</v>
      </c>
      <c r="H14" s="243">
        <f t="shared" si="5"/>
        <v>70.076999999999998</v>
      </c>
      <c r="I14" s="246">
        <f t="shared" si="6"/>
        <v>0</v>
      </c>
      <c r="J14" s="256">
        <f t="shared" si="7"/>
        <v>0</v>
      </c>
      <c r="K14" s="257">
        <f t="shared" si="8"/>
        <v>3.4994123043258716</v>
      </c>
      <c r="L14" s="257">
        <f t="shared" si="9"/>
        <v>26.245592282444033</v>
      </c>
      <c r="M14" s="258">
        <f t="shared" si="10"/>
        <v>10</v>
      </c>
      <c r="O14" s="498" t="s">
        <v>34</v>
      </c>
      <c r="P14" s="499"/>
      <c r="Q14" s="10">
        <v>108633501</v>
      </c>
      <c r="S14" s="498" t="s">
        <v>34</v>
      </c>
      <c r="T14" s="499"/>
      <c r="U14" s="10">
        <v>8613121</v>
      </c>
    </row>
    <row r="15" spans="1:21" ht="20.100000000000001" customHeight="1">
      <c r="A15" s="250" t="s">
        <v>10</v>
      </c>
      <c r="B15" s="251">
        <v>243728</v>
      </c>
      <c r="C15" s="252">
        <f t="shared" si="0"/>
        <v>209987.22</v>
      </c>
      <c r="D15" s="253">
        <f t="shared" si="1"/>
        <v>86.156379242434184</v>
      </c>
      <c r="E15" s="243">
        <f t="shared" si="2"/>
        <v>1170.77</v>
      </c>
      <c r="F15" s="254">
        <f t="shared" si="3"/>
        <v>15962.007</v>
      </c>
      <c r="G15" s="255">
        <f t="shared" si="4"/>
        <v>7.601418314886021</v>
      </c>
      <c r="H15" s="243">
        <f t="shared" si="5"/>
        <v>419.577</v>
      </c>
      <c r="I15" s="246">
        <f t="shared" si="6"/>
        <v>0</v>
      </c>
      <c r="J15" s="256">
        <f t="shared" si="7"/>
        <v>0</v>
      </c>
      <c r="K15" s="257">
        <f t="shared" si="8"/>
        <v>3.4462551696973676</v>
      </c>
      <c r="L15" s="257">
        <f t="shared" si="9"/>
        <v>25.846913772730254</v>
      </c>
      <c r="M15" s="258">
        <f t="shared" si="10"/>
        <v>11</v>
      </c>
      <c r="O15" s="498" t="s">
        <v>36</v>
      </c>
      <c r="P15" s="499"/>
      <c r="Q15" s="10">
        <v>69329549</v>
      </c>
      <c r="S15" s="498" t="s">
        <v>36</v>
      </c>
      <c r="T15" s="499"/>
      <c r="U15" s="10">
        <v>3844951</v>
      </c>
    </row>
    <row r="16" spans="1:21" ht="20.100000000000001" customHeight="1">
      <c r="A16" s="250" t="s">
        <v>35</v>
      </c>
      <c r="B16" s="251">
        <v>123179</v>
      </c>
      <c r="C16" s="252">
        <f t="shared" si="0"/>
        <v>105864.985</v>
      </c>
      <c r="D16" s="253">
        <f t="shared" si="1"/>
        <v>85.944020490505693</v>
      </c>
      <c r="E16" s="243">
        <f t="shared" si="2"/>
        <v>515.60500000000002</v>
      </c>
      <c r="F16" s="254">
        <f t="shared" si="3"/>
        <v>8288.7479999999996</v>
      </c>
      <c r="G16" s="255">
        <f t="shared" si="4"/>
        <v>7.829546284826848</v>
      </c>
      <c r="H16" s="243">
        <f t="shared" si="5"/>
        <v>38.954000000000001</v>
      </c>
      <c r="I16" s="246">
        <f t="shared" si="6"/>
        <v>0</v>
      </c>
      <c r="J16" s="256">
        <f t="shared" si="7"/>
        <v>0</v>
      </c>
      <c r="K16" s="257">
        <f t="shared" si="8"/>
        <v>3.4377608196202276</v>
      </c>
      <c r="L16" s="257">
        <f t="shared" si="9"/>
        <v>25.783206147151706</v>
      </c>
      <c r="M16" s="258">
        <f t="shared" si="10"/>
        <v>12</v>
      </c>
      <c r="O16" s="498" t="s">
        <v>29</v>
      </c>
      <c r="P16" s="499"/>
      <c r="Q16" s="10">
        <v>154983244</v>
      </c>
      <c r="S16" s="498" t="s">
        <v>29</v>
      </c>
      <c r="T16" s="499"/>
      <c r="U16" s="10">
        <v>10950583</v>
      </c>
    </row>
    <row r="17" spans="1:22" ht="20.100000000000001" customHeight="1">
      <c r="A17" s="250" t="s">
        <v>5</v>
      </c>
      <c r="B17" s="251">
        <v>238942</v>
      </c>
      <c r="C17" s="252">
        <f t="shared" si="0"/>
        <v>204388.24400000001</v>
      </c>
      <c r="D17" s="253">
        <f t="shared" si="1"/>
        <v>85.538852106368907</v>
      </c>
      <c r="E17" s="243">
        <f t="shared" si="2"/>
        <v>719.16399999999999</v>
      </c>
      <c r="F17" s="254">
        <f t="shared" si="3"/>
        <v>17616.025000000001</v>
      </c>
      <c r="G17" s="255">
        <f t="shared" si="4"/>
        <v>8.6189032476838552</v>
      </c>
      <c r="H17" s="243">
        <f t="shared" si="5"/>
        <v>99.168999999999997</v>
      </c>
      <c r="I17" s="246">
        <f t="shared" si="6"/>
        <v>0</v>
      </c>
      <c r="J17" s="256">
        <f t="shared" si="7"/>
        <v>0</v>
      </c>
      <c r="K17" s="257">
        <f t="shared" si="8"/>
        <v>3.4215540842547565</v>
      </c>
      <c r="L17" s="257">
        <f t="shared" si="9"/>
        <v>25.661655631910673</v>
      </c>
      <c r="M17" s="258">
        <f t="shared" si="10"/>
        <v>13</v>
      </c>
      <c r="O17" s="498" t="s">
        <v>30</v>
      </c>
      <c r="P17" s="499"/>
      <c r="Q17" s="10">
        <v>132663364</v>
      </c>
      <c r="S17" s="498" t="s">
        <v>30</v>
      </c>
      <c r="T17" s="499"/>
      <c r="U17" s="10">
        <v>13562390</v>
      </c>
    </row>
    <row r="18" spans="1:22" ht="20.100000000000001" customHeight="1">
      <c r="A18" s="250" t="s">
        <v>12</v>
      </c>
      <c r="B18" s="251">
        <v>116544</v>
      </c>
      <c r="C18" s="252">
        <f t="shared" si="0"/>
        <v>99366.842000000004</v>
      </c>
      <c r="D18" s="253">
        <f t="shared" si="1"/>
        <v>85.261224945085118</v>
      </c>
      <c r="E18" s="243">
        <f t="shared" si="2"/>
        <v>417.25400000000002</v>
      </c>
      <c r="F18" s="254">
        <f t="shared" si="3"/>
        <v>7564.31</v>
      </c>
      <c r="G18" s="255">
        <f t="shared" si="4"/>
        <v>7.6125092110706305</v>
      </c>
      <c r="H18" s="243">
        <f t="shared" si="5"/>
        <v>46.78</v>
      </c>
      <c r="I18" s="246">
        <f t="shared" si="6"/>
        <v>0</v>
      </c>
      <c r="J18" s="256">
        <f t="shared" si="7"/>
        <v>0</v>
      </c>
      <c r="K18" s="257">
        <f t="shared" si="8"/>
        <v>3.4104489978034049</v>
      </c>
      <c r="L18" s="257">
        <f t="shared" si="9"/>
        <v>25.578367483525536</v>
      </c>
      <c r="M18" s="258">
        <f t="shared" si="10"/>
        <v>14</v>
      </c>
      <c r="O18" s="498" t="s">
        <v>35</v>
      </c>
      <c r="P18" s="499"/>
      <c r="Q18" s="10">
        <v>105864985</v>
      </c>
      <c r="S18" s="498" t="s">
        <v>35</v>
      </c>
      <c r="T18" s="499"/>
      <c r="U18" s="10">
        <v>8288748</v>
      </c>
    </row>
    <row r="19" spans="1:22" ht="20.100000000000001" customHeight="1">
      <c r="A19" s="250" t="s">
        <v>26</v>
      </c>
      <c r="B19" s="251">
        <v>216281</v>
      </c>
      <c r="C19" s="252">
        <f t="shared" si="0"/>
        <v>184194.837</v>
      </c>
      <c r="D19" s="253">
        <f t="shared" si="1"/>
        <v>85.164594670821756</v>
      </c>
      <c r="E19" s="243">
        <f t="shared" si="2"/>
        <v>620.72900000000004</v>
      </c>
      <c r="F19" s="254">
        <f t="shared" si="3"/>
        <v>15311.787</v>
      </c>
      <c r="G19" s="255">
        <f t="shared" si="4"/>
        <v>8.3128209505676853</v>
      </c>
      <c r="H19" s="243">
        <f t="shared" si="5"/>
        <v>85.585999999999999</v>
      </c>
      <c r="I19" s="246">
        <f t="shared" si="6"/>
        <v>0</v>
      </c>
      <c r="J19" s="256">
        <f t="shared" si="7"/>
        <v>0</v>
      </c>
      <c r="K19" s="257">
        <f t="shared" si="8"/>
        <v>3.4065837868328703</v>
      </c>
      <c r="L19" s="257">
        <f t="shared" si="9"/>
        <v>25.549378401246525</v>
      </c>
      <c r="M19" s="258">
        <f t="shared" si="10"/>
        <v>15</v>
      </c>
      <c r="O19" s="498" t="s">
        <v>9</v>
      </c>
      <c r="P19" s="499"/>
      <c r="Q19" s="10">
        <v>205225422</v>
      </c>
      <c r="S19" s="498" t="s">
        <v>9</v>
      </c>
      <c r="T19" s="499"/>
      <c r="U19" s="10">
        <v>15405650</v>
      </c>
    </row>
    <row r="20" spans="1:22" ht="20.100000000000001" customHeight="1">
      <c r="A20" s="250" t="s">
        <v>14</v>
      </c>
      <c r="B20" s="251">
        <v>200655</v>
      </c>
      <c r="C20" s="252">
        <f t="shared" si="0"/>
        <v>170384.27</v>
      </c>
      <c r="D20" s="253">
        <f t="shared" si="1"/>
        <v>84.914041514041514</v>
      </c>
      <c r="E20" s="243">
        <f t="shared" si="2"/>
        <v>540.22400000000005</v>
      </c>
      <c r="F20" s="254">
        <f t="shared" si="3"/>
        <v>11614.456</v>
      </c>
      <c r="G20" s="255">
        <f t="shared" si="4"/>
        <v>6.8166245628190918</v>
      </c>
      <c r="H20" s="243">
        <f t="shared" si="5"/>
        <v>67.27</v>
      </c>
      <c r="I20" s="246">
        <f t="shared" si="6"/>
        <v>0</v>
      </c>
      <c r="J20" s="256">
        <f t="shared" si="7"/>
        <v>0</v>
      </c>
      <c r="K20" s="257">
        <f t="shared" si="8"/>
        <v>3.3965616605616606</v>
      </c>
      <c r="L20" s="257">
        <f t="shared" si="9"/>
        <v>25.474212454212452</v>
      </c>
      <c r="M20" s="258">
        <f t="shared" si="10"/>
        <v>16</v>
      </c>
      <c r="O20" s="498" t="s">
        <v>26</v>
      </c>
      <c r="P20" s="499"/>
      <c r="Q20" s="10">
        <v>184194837</v>
      </c>
      <c r="S20" s="498" t="s">
        <v>26</v>
      </c>
      <c r="T20" s="499"/>
      <c r="U20" s="10">
        <v>15311787</v>
      </c>
    </row>
    <row r="21" spans="1:22" ht="20.100000000000001" customHeight="1">
      <c r="A21" s="250" t="s">
        <v>29</v>
      </c>
      <c r="B21" s="251">
        <v>183175</v>
      </c>
      <c r="C21" s="252">
        <f t="shared" si="0"/>
        <v>154983.24400000001</v>
      </c>
      <c r="D21" s="253">
        <f t="shared" si="1"/>
        <v>84.60938665210864</v>
      </c>
      <c r="E21" s="243">
        <f t="shared" si="2"/>
        <v>511.78</v>
      </c>
      <c r="F21" s="254">
        <f t="shared" si="3"/>
        <v>10950.583000000001</v>
      </c>
      <c r="G21" s="255">
        <f t="shared" si="4"/>
        <v>7.0656560782790168</v>
      </c>
      <c r="H21" s="243">
        <f t="shared" si="5"/>
        <v>110.604</v>
      </c>
      <c r="I21" s="246">
        <f t="shared" si="6"/>
        <v>0</v>
      </c>
      <c r="J21" s="256">
        <f t="shared" si="7"/>
        <v>0</v>
      </c>
      <c r="K21" s="257">
        <f t="shared" si="8"/>
        <v>3.3843754660843457</v>
      </c>
      <c r="L21" s="257">
        <f t="shared" si="9"/>
        <v>25.382815995632591</v>
      </c>
      <c r="M21" s="258">
        <f t="shared" si="10"/>
        <v>17</v>
      </c>
      <c r="O21" s="498" t="s">
        <v>38</v>
      </c>
      <c r="P21" s="499"/>
      <c r="Q21" s="10">
        <v>88032419</v>
      </c>
      <c r="S21" s="498" t="s">
        <v>38</v>
      </c>
      <c r="T21" s="499"/>
      <c r="U21" s="10">
        <v>7585377</v>
      </c>
    </row>
    <row r="22" spans="1:22" ht="20.100000000000001" customHeight="1">
      <c r="A22" s="250" t="s">
        <v>34</v>
      </c>
      <c r="B22" s="251">
        <v>128698</v>
      </c>
      <c r="C22" s="252">
        <f t="shared" si="0"/>
        <v>108633.501</v>
      </c>
      <c r="D22" s="253">
        <f t="shared" si="1"/>
        <v>84.409626412220859</v>
      </c>
      <c r="E22" s="243">
        <f t="shared" si="2"/>
        <v>334.90899999999999</v>
      </c>
      <c r="F22" s="254">
        <f t="shared" si="3"/>
        <v>8613.1209999999992</v>
      </c>
      <c r="G22" s="255">
        <f t="shared" si="4"/>
        <v>7.928604823294795</v>
      </c>
      <c r="H22" s="243">
        <f t="shared" si="5"/>
        <v>43.793999999999997</v>
      </c>
      <c r="I22" s="246">
        <f t="shared" si="6"/>
        <v>0</v>
      </c>
      <c r="J22" s="256">
        <f t="shared" si="7"/>
        <v>0</v>
      </c>
      <c r="K22" s="257">
        <f t="shared" si="8"/>
        <v>3.3763850564888345</v>
      </c>
      <c r="L22" s="257">
        <f t="shared" si="9"/>
        <v>25.322887923666258</v>
      </c>
      <c r="M22" s="258">
        <f t="shared" si="10"/>
        <v>18</v>
      </c>
      <c r="O22" s="498" t="s">
        <v>10</v>
      </c>
      <c r="P22" s="499"/>
      <c r="Q22" s="10">
        <v>209987220</v>
      </c>
      <c r="S22" s="498" t="s">
        <v>10</v>
      </c>
      <c r="T22" s="499"/>
      <c r="U22" s="10">
        <v>15962007</v>
      </c>
    </row>
    <row r="23" spans="1:22" ht="20.100000000000001" customHeight="1">
      <c r="A23" s="250" t="s">
        <v>17</v>
      </c>
      <c r="B23" s="251">
        <v>375649</v>
      </c>
      <c r="C23" s="252">
        <f t="shared" si="0"/>
        <v>315312.05599999998</v>
      </c>
      <c r="D23" s="253">
        <f t="shared" si="1"/>
        <v>83.937946327555778</v>
      </c>
      <c r="E23" s="243">
        <f t="shared" si="2"/>
        <v>1163.8219999999999</v>
      </c>
      <c r="F23" s="254">
        <f t="shared" si="3"/>
        <v>23616.887999999999</v>
      </c>
      <c r="G23" s="255">
        <f t="shared" si="4"/>
        <v>7.4900047589680492</v>
      </c>
      <c r="H23" s="243">
        <f t="shared" si="5"/>
        <v>122.684</v>
      </c>
      <c r="I23" s="246">
        <f t="shared" si="6"/>
        <v>0</v>
      </c>
      <c r="J23" s="256">
        <f t="shared" si="7"/>
        <v>0</v>
      </c>
      <c r="K23" s="257">
        <f t="shared" si="8"/>
        <v>3.3575178531022312</v>
      </c>
      <c r="L23" s="257">
        <f t="shared" si="9"/>
        <v>25.181383898266734</v>
      </c>
      <c r="M23" s="258">
        <f t="shared" si="10"/>
        <v>19</v>
      </c>
      <c r="O23" s="498" t="s">
        <v>42</v>
      </c>
      <c r="P23" s="499"/>
      <c r="Q23" s="10">
        <v>61277597</v>
      </c>
      <c r="S23" s="498" t="s">
        <v>42</v>
      </c>
      <c r="T23" s="499"/>
      <c r="U23" s="10">
        <v>3476250</v>
      </c>
    </row>
    <row r="24" spans="1:22" ht="20.100000000000001" customHeight="1">
      <c r="A24" s="250" t="s">
        <v>20</v>
      </c>
      <c r="B24" s="251">
        <v>189351</v>
      </c>
      <c r="C24" s="252">
        <f t="shared" si="0"/>
        <v>158718.003</v>
      </c>
      <c r="D24" s="253">
        <f t="shared" si="1"/>
        <v>83.822109732718602</v>
      </c>
      <c r="E24" s="243">
        <f t="shared" si="2"/>
        <v>583.13300000000004</v>
      </c>
      <c r="F24" s="254">
        <f t="shared" si="3"/>
        <v>12487.121999999999</v>
      </c>
      <c r="G24" s="255">
        <f t="shared" si="4"/>
        <v>7.8674893609895022</v>
      </c>
      <c r="H24" s="243">
        <f t="shared" si="5"/>
        <v>68.004000000000005</v>
      </c>
      <c r="I24" s="246">
        <f t="shared" si="6"/>
        <v>0</v>
      </c>
      <c r="J24" s="256">
        <f t="shared" si="7"/>
        <v>0</v>
      </c>
      <c r="K24" s="257">
        <f t="shared" si="8"/>
        <v>3.3528843893087443</v>
      </c>
      <c r="L24" s="257">
        <f t="shared" si="9"/>
        <v>25.14663291981558</v>
      </c>
      <c r="M24" s="258">
        <f t="shared" si="10"/>
        <v>20</v>
      </c>
      <c r="O24" s="498" t="s">
        <v>39</v>
      </c>
      <c r="P24" s="499"/>
      <c r="Q24" s="10">
        <v>60915326</v>
      </c>
      <c r="S24" s="498" t="s">
        <v>39</v>
      </c>
      <c r="T24" s="499"/>
      <c r="U24" s="10">
        <v>4135581</v>
      </c>
    </row>
    <row r="25" spans="1:22" ht="20.100000000000001" customHeight="1">
      <c r="A25" s="250" t="s">
        <v>33</v>
      </c>
      <c r="B25" s="251">
        <v>90004</v>
      </c>
      <c r="C25" s="252">
        <f t="shared" si="0"/>
        <v>75408.706000000006</v>
      </c>
      <c r="D25" s="253">
        <f t="shared" si="1"/>
        <v>83.783727389893798</v>
      </c>
      <c r="E25" s="243">
        <f t="shared" si="2"/>
        <v>279.05700000000002</v>
      </c>
      <c r="F25" s="254">
        <f t="shared" si="3"/>
        <v>5337.6930000000002</v>
      </c>
      <c r="G25" s="255">
        <f t="shared" si="4"/>
        <v>7.078351138925524</v>
      </c>
      <c r="H25" s="243">
        <f t="shared" si="5"/>
        <v>35.734000000000002</v>
      </c>
      <c r="I25" s="246">
        <f t="shared" si="6"/>
        <v>0</v>
      </c>
      <c r="J25" s="256">
        <f t="shared" si="7"/>
        <v>0</v>
      </c>
      <c r="K25" s="257">
        <f t="shared" si="8"/>
        <v>3.3513490955957521</v>
      </c>
      <c r="L25" s="257">
        <f t="shared" si="9"/>
        <v>25.135118216968138</v>
      </c>
      <c r="M25" s="258">
        <f t="shared" si="10"/>
        <v>21</v>
      </c>
      <c r="O25" s="498" t="s">
        <v>41</v>
      </c>
      <c r="P25" s="499"/>
      <c r="Q25" s="10">
        <v>34004855</v>
      </c>
      <c r="S25" s="498" t="s">
        <v>41</v>
      </c>
      <c r="T25" s="499"/>
      <c r="U25" s="10">
        <v>2131223</v>
      </c>
    </row>
    <row r="26" spans="1:22" ht="20.100000000000001" customHeight="1">
      <c r="A26" s="250" t="s">
        <v>43</v>
      </c>
      <c r="B26" s="251">
        <v>99260</v>
      </c>
      <c r="C26" s="252">
        <f t="shared" si="0"/>
        <v>83121.611000000004</v>
      </c>
      <c r="D26" s="253">
        <f t="shared" si="1"/>
        <v>83.74129659480154</v>
      </c>
      <c r="E26" s="243">
        <f t="shared" si="2"/>
        <v>306.06599999999997</v>
      </c>
      <c r="F26" s="254">
        <f t="shared" si="3"/>
        <v>6849.8140000000003</v>
      </c>
      <c r="G26" s="255">
        <f t="shared" si="4"/>
        <v>8.2407137176395668</v>
      </c>
      <c r="H26" s="243">
        <f t="shared" si="5"/>
        <v>40.991999999999997</v>
      </c>
      <c r="I26" s="246">
        <f t="shared" si="6"/>
        <v>0</v>
      </c>
      <c r="J26" s="256">
        <f t="shared" si="7"/>
        <v>0</v>
      </c>
      <c r="K26" s="257">
        <f t="shared" si="8"/>
        <v>3.3496518637920616</v>
      </c>
      <c r="L26" s="257">
        <f t="shared" si="9"/>
        <v>25.122388978440462</v>
      </c>
      <c r="M26" s="258">
        <f t="shared" si="10"/>
        <v>22</v>
      </c>
      <c r="O26" s="498" t="s">
        <v>21</v>
      </c>
      <c r="P26" s="499"/>
      <c r="Q26" s="10">
        <v>216547302</v>
      </c>
      <c r="S26" s="498" t="s">
        <v>21</v>
      </c>
      <c r="T26" s="499"/>
      <c r="U26" s="10">
        <v>15853086</v>
      </c>
    </row>
    <row r="27" spans="1:22" ht="20.100000000000001" customHeight="1">
      <c r="A27" s="250" t="s">
        <v>8</v>
      </c>
      <c r="B27" s="251">
        <v>290833</v>
      </c>
      <c r="C27" s="252">
        <f t="shared" si="0"/>
        <v>243526.584</v>
      </c>
      <c r="D27" s="253">
        <f t="shared" si="1"/>
        <v>83.734164967524322</v>
      </c>
      <c r="E27" s="243">
        <f t="shared" si="2"/>
        <v>777.00400000000002</v>
      </c>
      <c r="F27" s="254">
        <f t="shared" si="3"/>
        <v>22182.805</v>
      </c>
      <c r="G27" s="255">
        <f t="shared" si="4"/>
        <v>9.108987050054461</v>
      </c>
      <c r="H27" s="243">
        <f t="shared" si="5"/>
        <v>140.01599999999999</v>
      </c>
      <c r="I27" s="246">
        <f t="shared" si="6"/>
        <v>0</v>
      </c>
      <c r="J27" s="256">
        <f t="shared" si="7"/>
        <v>0</v>
      </c>
      <c r="K27" s="257">
        <f t="shared" si="8"/>
        <v>3.3493665987009731</v>
      </c>
      <c r="L27" s="257">
        <f t="shared" si="9"/>
        <v>25.120249490257297</v>
      </c>
      <c r="M27" s="258">
        <f t="shared" si="10"/>
        <v>23</v>
      </c>
      <c r="O27" s="498" t="s">
        <v>43</v>
      </c>
      <c r="P27" s="499"/>
      <c r="Q27" s="10">
        <v>83121611</v>
      </c>
      <c r="S27" s="498" t="s">
        <v>43</v>
      </c>
      <c r="T27" s="499"/>
      <c r="U27" s="10">
        <v>6849814</v>
      </c>
    </row>
    <row r="28" spans="1:22" ht="20.100000000000001" customHeight="1">
      <c r="A28" s="250" t="s">
        <v>40</v>
      </c>
      <c r="B28" s="251">
        <v>103189</v>
      </c>
      <c r="C28" s="252">
        <f t="shared" si="0"/>
        <v>86049.725000000006</v>
      </c>
      <c r="D28" s="253">
        <f t="shared" si="1"/>
        <v>83.390404985027473</v>
      </c>
      <c r="E28" s="243">
        <f t="shared" si="2"/>
        <v>298.47500000000002</v>
      </c>
      <c r="F28" s="254">
        <f t="shared" si="3"/>
        <v>7541.7049999999999</v>
      </c>
      <c r="G28" s="255">
        <f t="shared" si="4"/>
        <v>8.7643568878343299</v>
      </c>
      <c r="H28" s="243">
        <f t="shared" si="5"/>
        <v>45.576000000000001</v>
      </c>
      <c r="I28" s="246">
        <f t="shared" si="6"/>
        <v>0</v>
      </c>
      <c r="J28" s="256">
        <f t="shared" si="7"/>
        <v>0</v>
      </c>
      <c r="K28" s="257">
        <f t="shared" si="8"/>
        <v>3.3356161994010991</v>
      </c>
      <c r="L28" s="257">
        <f t="shared" si="9"/>
        <v>25.017121495508242</v>
      </c>
      <c r="M28" s="258">
        <f t="shared" si="10"/>
        <v>24</v>
      </c>
      <c r="O28" s="498" t="s">
        <v>15</v>
      </c>
      <c r="P28" s="499"/>
      <c r="Q28" s="10">
        <v>262849981</v>
      </c>
      <c r="S28" s="498" t="s">
        <v>15</v>
      </c>
      <c r="T28" s="499"/>
      <c r="U28" s="10">
        <v>17816418</v>
      </c>
    </row>
    <row r="29" spans="1:22" ht="20.100000000000001" customHeight="1">
      <c r="A29" s="250" t="s">
        <v>28</v>
      </c>
      <c r="B29" s="251">
        <v>211366</v>
      </c>
      <c r="C29" s="252">
        <f t="shared" si="0"/>
        <v>175614.12400000001</v>
      </c>
      <c r="D29" s="253">
        <f t="shared" si="1"/>
        <v>83.085323088860093</v>
      </c>
      <c r="E29" s="243">
        <f t="shared" si="2"/>
        <v>574.57399999999996</v>
      </c>
      <c r="F29" s="254">
        <f t="shared" si="3"/>
        <v>14831.296</v>
      </c>
      <c r="G29" s="255">
        <f t="shared" si="4"/>
        <v>8.4453890508260017</v>
      </c>
      <c r="H29" s="243">
        <f t="shared" si="5"/>
        <v>94.977999999999994</v>
      </c>
      <c r="I29" s="246">
        <f t="shared" si="6"/>
        <v>0</v>
      </c>
      <c r="J29" s="256">
        <f t="shared" si="7"/>
        <v>0</v>
      </c>
      <c r="K29" s="257">
        <f t="shared" si="8"/>
        <v>3.3234129235544039</v>
      </c>
      <c r="L29" s="257">
        <f t="shared" si="9"/>
        <v>24.925596926658027</v>
      </c>
      <c r="M29" s="258">
        <f t="shared" si="10"/>
        <v>25</v>
      </c>
      <c r="O29" s="498" t="s">
        <v>22</v>
      </c>
      <c r="P29" s="499"/>
      <c r="Q29" s="10">
        <v>142477849</v>
      </c>
      <c r="S29" s="498" t="s">
        <v>22</v>
      </c>
      <c r="T29" s="499"/>
      <c r="U29" s="10">
        <v>7833581</v>
      </c>
    </row>
    <row r="30" spans="1:22" ht="20.100000000000001" customHeight="1">
      <c r="A30" s="250" t="s">
        <v>25</v>
      </c>
      <c r="B30" s="251">
        <v>370979</v>
      </c>
      <c r="C30" s="252">
        <f t="shared" si="0"/>
        <v>307147.88199999998</v>
      </c>
      <c r="D30" s="253">
        <f t="shared" si="1"/>
        <v>82.793872968550772</v>
      </c>
      <c r="E30" s="243">
        <f t="shared" si="2"/>
        <v>1123.127</v>
      </c>
      <c r="F30" s="254">
        <f t="shared" si="3"/>
        <v>23129.052</v>
      </c>
      <c r="G30" s="255">
        <f t="shared" si="4"/>
        <v>7.5302658281068666</v>
      </c>
      <c r="H30" s="243">
        <f t="shared" si="5"/>
        <v>219.02099999999999</v>
      </c>
      <c r="I30" s="246">
        <f t="shared" si="6"/>
        <v>0</v>
      </c>
      <c r="J30" s="256">
        <f t="shared" si="7"/>
        <v>0</v>
      </c>
      <c r="K30" s="257">
        <f t="shared" si="8"/>
        <v>3.311754918742031</v>
      </c>
      <c r="L30" s="257">
        <f t="shared" si="9"/>
        <v>24.838161890565232</v>
      </c>
      <c r="M30" s="258">
        <f t="shared" si="10"/>
        <v>26</v>
      </c>
      <c r="O30" s="502" t="s">
        <v>7</v>
      </c>
      <c r="P30" s="503"/>
      <c r="Q30" s="10">
        <v>197194052</v>
      </c>
      <c r="R30" s="9">
        <f>Q30+Q34</f>
        <v>389444197</v>
      </c>
      <c r="S30" s="502" t="s">
        <v>7</v>
      </c>
      <c r="T30" s="503"/>
      <c r="U30" s="10">
        <v>16093092</v>
      </c>
      <c r="V30" s="9">
        <f>U30+U34</f>
        <v>34344847</v>
      </c>
    </row>
    <row r="31" spans="1:22" ht="20.100000000000001" customHeight="1">
      <c r="A31" s="250" t="s">
        <v>7</v>
      </c>
      <c r="B31" s="251">
        <v>471032</v>
      </c>
      <c r="C31" s="252">
        <f>VLOOKUP(A31,$O$30:$R$30,4,FALSE)/1000</f>
        <v>389444.19699999999</v>
      </c>
      <c r="D31" s="253">
        <f t="shared" si="1"/>
        <v>82.678925635625603</v>
      </c>
      <c r="E31" s="243">
        <f>((VLOOKUP(A31,$O$30:$R$30,4,FALSE)-VLOOKUP(A31,$O$76:$R$76,4,FALSE)))/1000</f>
        <v>1437.9749999999999</v>
      </c>
      <c r="F31" s="254">
        <f>VLOOKUP(A31,$S$30:$V$30,4,FALSE)/1000</f>
        <v>34344.847000000002</v>
      </c>
      <c r="G31" s="255">
        <f t="shared" si="4"/>
        <v>8.8189392124900507</v>
      </c>
      <c r="H31" s="243">
        <f>(VLOOKUP(A31,$S$30:$V$30,4,FALSE)-VLOOKUP(A31,$S$76:$V$76,4,FALSE))/1000</f>
        <v>172.22399999999999</v>
      </c>
      <c r="I31" s="246">
        <f t="shared" si="6"/>
        <v>0</v>
      </c>
      <c r="J31" s="256">
        <f t="shared" si="7"/>
        <v>0</v>
      </c>
      <c r="K31" s="257">
        <f t="shared" si="8"/>
        <v>3.307157025425024</v>
      </c>
      <c r="L31" s="257">
        <f t="shared" si="9"/>
        <v>24.803677690687682</v>
      </c>
      <c r="M31" s="258">
        <f t="shared" si="10"/>
        <v>27</v>
      </c>
      <c r="O31" s="498" t="s">
        <v>18</v>
      </c>
      <c r="P31" s="499"/>
      <c r="Q31" s="10">
        <v>467915037</v>
      </c>
      <c r="S31" s="498" t="s">
        <v>18</v>
      </c>
      <c r="T31" s="499"/>
      <c r="U31" s="10">
        <v>24117693</v>
      </c>
    </row>
    <row r="32" spans="1:22" ht="20.100000000000001" customHeight="1">
      <c r="A32" s="250" t="s">
        <v>13</v>
      </c>
      <c r="B32" s="251">
        <v>147071</v>
      </c>
      <c r="C32" s="252">
        <f t="shared" ref="C32:C44" si="11">VLOOKUP(A32,$O$5:$Q$45,3,FALSE)/1000</f>
        <v>121101.359</v>
      </c>
      <c r="D32" s="253">
        <f t="shared" si="1"/>
        <v>82.342106193607165</v>
      </c>
      <c r="E32" s="243">
        <f t="shared" ref="E32:E44" si="12">(VLOOKUP(A32,$O$5:$Q$45,3,FALSE)-VLOOKUP(A32,$O$51:$Q$91,3,FALSE))/1000</f>
        <v>376.73899999999998</v>
      </c>
      <c r="F32" s="254">
        <f t="shared" ref="F32:F44" si="13">VLOOKUP(A32,$S$5:$U$45,3,FALSE)/1000</f>
        <v>11400.548000000001</v>
      </c>
      <c r="G32" s="255">
        <f t="shared" si="4"/>
        <v>9.4140545524348749</v>
      </c>
      <c r="H32" s="243">
        <f t="shared" ref="H32:H44" si="14">(VLOOKUP(A32,$S$5:$U$45,3,FALSE)-VLOOKUP(A32,$S$51:$U$91,3,FALSE))/1000</f>
        <v>72.644000000000005</v>
      </c>
      <c r="I32" s="246">
        <f t="shared" si="6"/>
        <v>0</v>
      </c>
      <c r="J32" s="256">
        <f t="shared" si="7"/>
        <v>0</v>
      </c>
      <c r="K32" s="257">
        <f t="shared" si="8"/>
        <v>3.2936842477442867</v>
      </c>
      <c r="L32" s="257">
        <f t="shared" si="9"/>
        <v>24.70263185808215</v>
      </c>
      <c r="M32" s="258">
        <f t="shared" si="10"/>
        <v>28</v>
      </c>
      <c r="O32" s="498" t="s">
        <v>12</v>
      </c>
      <c r="P32" s="499"/>
      <c r="Q32" s="10">
        <v>99366842</v>
      </c>
      <c r="S32" s="498" t="s">
        <v>12</v>
      </c>
      <c r="T32" s="499"/>
      <c r="U32" s="10">
        <v>7564310</v>
      </c>
    </row>
    <row r="33" spans="1:22" ht="20.100000000000001" customHeight="1">
      <c r="A33" s="250" t="s">
        <v>15</v>
      </c>
      <c r="B33" s="251">
        <v>319800</v>
      </c>
      <c r="C33" s="252">
        <f t="shared" si="11"/>
        <v>262849.98100000003</v>
      </c>
      <c r="D33" s="253">
        <f t="shared" si="1"/>
        <v>82.191989055659803</v>
      </c>
      <c r="E33" s="243">
        <f t="shared" si="12"/>
        <v>969.94600000000003</v>
      </c>
      <c r="F33" s="254">
        <f t="shared" si="13"/>
        <v>17816.418000000001</v>
      </c>
      <c r="G33" s="255">
        <f t="shared" si="4"/>
        <v>6.7781697880358607</v>
      </c>
      <c r="H33" s="243">
        <f t="shared" si="14"/>
        <v>171.63499999999999</v>
      </c>
      <c r="I33" s="246">
        <f t="shared" si="6"/>
        <v>0</v>
      </c>
      <c r="J33" s="256">
        <f t="shared" si="7"/>
        <v>0</v>
      </c>
      <c r="K33" s="257">
        <f t="shared" si="8"/>
        <v>3.2876795622263923</v>
      </c>
      <c r="L33" s="257">
        <f t="shared" si="9"/>
        <v>24.657596716697942</v>
      </c>
      <c r="M33" s="258">
        <f t="shared" si="10"/>
        <v>29</v>
      </c>
      <c r="O33" s="498" t="s">
        <v>11</v>
      </c>
      <c r="P33" s="499"/>
      <c r="Q33" s="10">
        <v>166320068</v>
      </c>
      <c r="S33" s="498" t="s">
        <v>11</v>
      </c>
      <c r="T33" s="499"/>
      <c r="U33" s="10">
        <v>13655182</v>
      </c>
    </row>
    <row r="34" spans="1:22" ht="20.100000000000001" customHeight="1">
      <c r="A34" s="250" t="s">
        <v>30</v>
      </c>
      <c r="B34" s="251">
        <v>161446</v>
      </c>
      <c r="C34" s="252">
        <f t="shared" si="11"/>
        <v>132663.364</v>
      </c>
      <c r="D34" s="253">
        <f t="shared" si="1"/>
        <v>82.17197329137916</v>
      </c>
      <c r="E34" s="243">
        <f t="shared" si="12"/>
        <v>469.58499999999998</v>
      </c>
      <c r="F34" s="254">
        <f t="shared" si="13"/>
        <v>13562.39</v>
      </c>
      <c r="G34" s="255">
        <f t="shared" si="4"/>
        <v>10.223161535388172</v>
      </c>
      <c r="H34" s="243">
        <f t="shared" si="14"/>
        <v>72.498999999999995</v>
      </c>
      <c r="I34" s="246">
        <f t="shared" si="6"/>
        <v>0</v>
      </c>
      <c r="J34" s="256">
        <f t="shared" si="7"/>
        <v>0</v>
      </c>
      <c r="K34" s="257">
        <f t="shared" si="8"/>
        <v>3.2868789316551665</v>
      </c>
      <c r="L34" s="257">
        <f t="shared" si="9"/>
        <v>24.651591987413749</v>
      </c>
      <c r="M34" s="258">
        <f t="shared" si="10"/>
        <v>30</v>
      </c>
      <c r="O34" s="502" t="s">
        <v>63</v>
      </c>
      <c r="P34" s="503"/>
      <c r="Q34" s="10">
        <v>192250145</v>
      </c>
      <c r="S34" s="502" t="s">
        <v>63</v>
      </c>
      <c r="T34" s="503"/>
      <c r="U34" s="10">
        <v>18251755</v>
      </c>
    </row>
    <row r="35" spans="1:22" ht="20.100000000000001" customHeight="1">
      <c r="A35" s="250" t="s">
        <v>38</v>
      </c>
      <c r="B35" s="251">
        <v>107227</v>
      </c>
      <c r="C35" s="252">
        <f t="shared" si="11"/>
        <v>88032.418999999994</v>
      </c>
      <c r="D35" s="253">
        <f t="shared" si="1"/>
        <v>82.099115894317663</v>
      </c>
      <c r="E35" s="243">
        <f t="shared" si="12"/>
        <v>285.553</v>
      </c>
      <c r="F35" s="254">
        <f t="shared" si="13"/>
        <v>7585.3770000000004</v>
      </c>
      <c r="G35" s="255">
        <f t="shared" si="4"/>
        <v>8.616572265269685</v>
      </c>
      <c r="H35" s="243">
        <f t="shared" si="14"/>
        <v>57.030999999999999</v>
      </c>
      <c r="I35" s="246">
        <f t="shared" si="6"/>
        <v>0</v>
      </c>
      <c r="J35" s="256">
        <f t="shared" si="7"/>
        <v>0</v>
      </c>
      <c r="K35" s="257">
        <f t="shared" si="8"/>
        <v>3.2839646357727066</v>
      </c>
      <c r="L35" s="257">
        <f t="shared" si="9"/>
        <v>24.629734768295297</v>
      </c>
      <c r="M35" s="258">
        <f t="shared" si="10"/>
        <v>31</v>
      </c>
      <c r="O35" s="498" t="s">
        <v>13</v>
      </c>
      <c r="P35" s="499"/>
      <c r="Q35" s="10">
        <v>121101359</v>
      </c>
      <c r="S35" s="498" t="s">
        <v>13</v>
      </c>
      <c r="T35" s="499"/>
      <c r="U35" s="10">
        <v>11400548</v>
      </c>
    </row>
    <row r="36" spans="1:22" ht="20.100000000000001" customHeight="1">
      <c r="A36" s="250" t="s">
        <v>37</v>
      </c>
      <c r="B36" s="251">
        <v>129433</v>
      </c>
      <c r="C36" s="252">
        <f t="shared" si="11"/>
        <v>105741.68</v>
      </c>
      <c r="D36" s="253">
        <f t="shared" si="1"/>
        <v>81.696074416879782</v>
      </c>
      <c r="E36" s="243">
        <f t="shared" si="12"/>
        <v>326.52499999999998</v>
      </c>
      <c r="F36" s="254">
        <f t="shared" si="13"/>
        <v>9808.4290000000001</v>
      </c>
      <c r="G36" s="255">
        <f t="shared" si="4"/>
        <v>9.2758399526090383</v>
      </c>
      <c r="H36" s="243">
        <f t="shared" si="14"/>
        <v>46.863999999999997</v>
      </c>
      <c r="I36" s="246">
        <f t="shared" si="6"/>
        <v>0</v>
      </c>
      <c r="J36" s="256">
        <f t="shared" si="7"/>
        <v>0</v>
      </c>
      <c r="K36" s="257">
        <f t="shared" si="8"/>
        <v>3.2678429766751913</v>
      </c>
      <c r="L36" s="257">
        <f t="shared" si="9"/>
        <v>24.508822325063935</v>
      </c>
      <c r="M36" s="258">
        <f t="shared" si="10"/>
        <v>32</v>
      </c>
      <c r="O36" s="498" t="s">
        <v>14</v>
      </c>
      <c r="P36" s="499"/>
      <c r="Q36" s="10">
        <v>170384270</v>
      </c>
      <c r="S36" s="498" t="s">
        <v>14</v>
      </c>
      <c r="T36" s="499"/>
      <c r="U36" s="10">
        <v>11614456</v>
      </c>
    </row>
    <row r="37" spans="1:22" ht="20.100000000000001" customHeight="1">
      <c r="A37" s="250" t="s">
        <v>23</v>
      </c>
      <c r="B37" s="251">
        <v>137370</v>
      </c>
      <c r="C37" s="252">
        <f t="shared" si="11"/>
        <v>112152.467</v>
      </c>
      <c r="D37" s="253">
        <f t="shared" si="1"/>
        <v>81.642619931571673</v>
      </c>
      <c r="E37" s="243">
        <f t="shared" si="12"/>
        <v>302.99900000000002</v>
      </c>
      <c r="F37" s="254">
        <f t="shared" si="13"/>
        <v>8285.8790000000008</v>
      </c>
      <c r="G37" s="255">
        <f t="shared" si="4"/>
        <v>7.3880488068086816</v>
      </c>
      <c r="H37" s="243">
        <f t="shared" si="14"/>
        <v>32.872</v>
      </c>
      <c r="I37" s="246">
        <f t="shared" si="6"/>
        <v>0</v>
      </c>
      <c r="J37" s="256">
        <f t="shared" si="7"/>
        <v>0</v>
      </c>
      <c r="K37" s="257">
        <f t="shared" si="8"/>
        <v>3.2657047972628668</v>
      </c>
      <c r="L37" s="257">
        <f t="shared" si="9"/>
        <v>24.492785979471503</v>
      </c>
      <c r="M37" s="258">
        <f t="shared" si="10"/>
        <v>33</v>
      </c>
      <c r="O37" s="498" t="s">
        <v>16</v>
      </c>
      <c r="P37" s="499"/>
      <c r="Q37" s="10">
        <v>148377446</v>
      </c>
      <c r="S37" s="498" t="s">
        <v>16</v>
      </c>
      <c r="T37" s="499"/>
      <c r="U37" s="10">
        <v>11467746</v>
      </c>
    </row>
    <row r="38" spans="1:22" ht="20.100000000000001" customHeight="1">
      <c r="A38" s="250" t="s">
        <v>24</v>
      </c>
      <c r="B38" s="251">
        <v>193481</v>
      </c>
      <c r="C38" s="252">
        <f t="shared" si="11"/>
        <v>157472.44500000001</v>
      </c>
      <c r="D38" s="253">
        <f t="shared" si="1"/>
        <v>81.389100221727205</v>
      </c>
      <c r="E38" s="243">
        <f t="shared" si="12"/>
        <v>444.65300000000002</v>
      </c>
      <c r="F38" s="254">
        <f t="shared" si="13"/>
        <v>11042.641</v>
      </c>
      <c r="G38" s="255">
        <f t="shared" si="4"/>
        <v>7.0124274758037819</v>
      </c>
      <c r="H38" s="243">
        <f t="shared" si="14"/>
        <v>79.491</v>
      </c>
      <c r="I38" s="246">
        <f t="shared" si="6"/>
        <v>0</v>
      </c>
      <c r="J38" s="256">
        <f t="shared" si="7"/>
        <v>0</v>
      </c>
      <c r="K38" s="257">
        <f t="shared" si="8"/>
        <v>3.2555640088690883</v>
      </c>
      <c r="L38" s="257">
        <f t="shared" si="9"/>
        <v>24.416730066518159</v>
      </c>
      <c r="M38" s="258">
        <f t="shared" si="10"/>
        <v>34</v>
      </c>
      <c r="O38" s="498" t="s">
        <v>19</v>
      </c>
      <c r="P38" s="499"/>
      <c r="Q38" s="10">
        <v>166284068</v>
      </c>
      <c r="S38" s="498" t="s">
        <v>19</v>
      </c>
      <c r="T38" s="499"/>
      <c r="U38" s="10">
        <v>13680612</v>
      </c>
    </row>
    <row r="39" spans="1:22" ht="20.100000000000001" customHeight="1">
      <c r="A39" s="250" t="s">
        <v>42</v>
      </c>
      <c r="B39" s="251">
        <v>75365</v>
      </c>
      <c r="C39" s="252">
        <f t="shared" si="11"/>
        <v>61277.597000000002</v>
      </c>
      <c r="D39" s="253">
        <f t="shared" si="1"/>
        <v>81.307764877595702</v>
      </c>
      <c r="E39" s="243">
        <f t="shared" si="12"/>
        <v>195.75899999999999</v>
      </c>
      <c r="F39" s="254">
        <f t="shared" si="13"/>
        <v>3476.25</v>
      </c>
      <c r="G39" s="255">
        <f t="shared" si="4"/>
        <v>5.672954179322665</v>
      </c>
      <c r="H39" s="243">
        <f t="shared" si="14"/>
        <v>31.974</v>
      </c>
      <c r="I39" s="246">
        <f t="shared" si="6"/>
        <v>1.2999999999999999E-3</v>
      </c>
      <c r="J39" s="256">
        <f t="shared" si="7"/>
        <v>0.03</v>
      </c>
      <c r="K39" s="257">
        <f t="shared" si="8"/>
        <v>3.2510105951038279</v>
      </c>
      <c r="L39" s="257">
        <f t="shared" si="9"/>
        <v>24.362329463278709</v>
      </c>
      <c r="M39" s="258">
        <f t="shared" si="10"/>
        <v>35</v>
      </c>
      <c r="O39" s="498" t="s">
        <v>5</v>
      </c>
      <c r="P39" s="499"/>
      <c r="Q39" s="10">
        <v>204388244</v>
      </c>
      <c r="S39" s="498" t="s">
        <v>5</v>
      </c>
      <c r="T39" s="499"/>
      <c r="U39" s="10">
        <v>17616025</v>
      </c>
    </row>
    <row r="40" spans="1:22" ht="20.100000000000001" customHeight="1">
      <c r="A40" s="250" t="s">
        <v>9</v>
      </c>
      <c r="B40" s="251">
        <v>253357</v>
      </c>
      <c r="C40" s="252">
        <f t="shared" si="11"/>
        <v>205225.42199999999</v>
      </c>
      <c r="D40" s="253">
        <f t="shared" si="1"/>
        <v>81.002467664205042</v>
      </c>
      <c r="E40" s="243">
        <f t="shared" si="12"/>
        <v>644.38499999999999</v>
      </c>
      <c r="F40" s="254">
        <f t="shared" si="13"/>
        <v>15405.65</v>
      </c>
      <c r="G40" s="255">
        <f t="shared" si="4"/>
        <v>7.5066967093384758</v>
      </c>
      <c r="H40" s="243">
        <f t="shared" si="14"/>
        <v>79.727000000000004</v>
      </c>
      <c r="I40" s="246">
        <f t="shared" si="6"/>
        <v>0</v>
      </c>
      <c r="J40" s="256">
        <f t="shared" si="7"/>
        <v>0</v>
      </c>
      <c r="K40" s="257">
        <f t="shared" si="8"/>
        <v>3.2400987065682019</v>
      </c>
      <c r="L40" s="257">
        <f t="shared" si="9"/>
        <v>24.300740299261513</v>
      </c>
      <c r="M40" s="258">
        <f t="shared" si="10"/>
        <v>36</v>
      </c>
      <c r="O40" s="498" t="s">
        <v>17</v>
      </c>
      <c r="P40" s="499"/>
      <c r="Q40" s="10">
        <v>315312056</v>
      </c>
      <c r="S40" s="498" t="s">
        <v>17</v>
      </c>
      <c r="T40" s="499"/>
      <c r="U40" s="10">
        <v>23616888</v>
      </c>
    </row>
    <row r="41" spans="1:22" ht="20.100000000000001" customHeight="1">
      <c r="A41" s="250" t="s">
        <v>27</v>
      </c>
      <c r="B41" s="251">
        <v>288782</v>
      </c>
      <c r="C41" s="252">
        <f t="shared" si="11"/>
        <v>233724.989</v>
      </c>
      <c r="D41" s="253">
        <f t="shared" si="1"/>
        <v>80.934749742019932</v>
      </c>
      <c r="E41" s="243">
        <f t="shared" si="12"/>
        <v>740.91</v>
      </c>
      <c r="F41" s="254">
        <f t="shared" si="13"/>
        <v>18336.664000000001</v>
      </c>
      <c r="G41" s="255">
        <f t="shared" si="4"/>
        <v>7.8454015886166113</v>
      </c>
      <c r="H41" s="243">
        <f t="shared" si="14"/>
        <v>119.633</v>
      </c>
      <c r="I41" s="246">
        <f t="shared" si="6"/>
        <v>0</v>
      </c>
      <c r="J41" s="256">
        <f t="shared" si="7"/>
        <v>0</v>
      </c>
      <c r="K41" s="257">
        <f t="shared" si="8"/>
        <v>3.2373899896807972</v>
      </c>
      <c r="L41" s="257">
        <f t="shared" si="9"/>
        <v>24.280424922605977</v>
      </c>
      <c r="M41" s="258">
        <f t="shared" si="10"/>
        <v>37</v>
      </c>
      <c r="O41" s="498" t="s">
        <v>20</v>
      </c>
      <c r="P41" s="499"/>
      <c r="Q41" s="10">
        <v>158718003</v>
      </c>
      <c r="S41" s="498" t="s">
        <v>20</v>
      </c>
      <c r="T41" s="499"/>
      <c r="U41" s="10">
        <v>12487122</v>
      </c>
    </row>
    <row r="42" spans="1:22" ht="20.100000000000001" customHeight="1">
      <c r="A42" s="250" t="s">
        <v>21</v>
      </c>
      <c r="B42" s="251">
        <v>273983</v>
      </c>
      <c r="C42" s="252">
        <f t="shared" si="11"/>
        <v>216547.302</v>
      </c>
      <c r="D42" s="253">
        <f t="shared" si="1"/>
        <v>79.036765784738463</v>
      </c>
      <c r="E42" s="243">
        <f t="shared" si="12"/>
        <v>661.38099999999997</v>
      </c>
      <c r="F42" s="254">
        <f t="shared" si="13"/>
        <v>15853.085999999999</v>
      </c>
      <c r="G42" s="255">
        <f t="shared" si="4"/>
        <v>7.3208420763422861</v>
      </c>
      <c r="H42" s="243">
        <f t="shared" si="14"/>
        <v>95.718999999999994</v>
      </c>
      <c r="I42" s="246">
        <f t="shared" si="6"/>
        <v>0</v>
      </c>
      <c r="J42" s="256">
        <f t="shared" si="7"/>
        <v>0</v>
      </c>
      <c r="K42" s="257">
        <f t="shared" si="8"/>
        <v>3.1614706313895384</v>
      </c>
      <c r="L42" s="257">
        <f t="shared" si="9"/>
        <v>23.711029735421537</v>
      </c>
      <c r="M42" s="258">
        <f t="shared" si="10"/>
        <v>38</v>
      </c>
      <c r="O42" s="498" t="s">
        <v>6</v>
      </c>
      <c r="P42" s="499"/>
      <c r="Q42" s="10">
        <v>146374667</v>
      </c>
      <c r="S42" s="498" t="s">
        <v>6</v>
      </c>
      <c r="T42" s="499"/>
      <c r="U42" s="10">
        <v>10780125</v>
      </c>
    </row>
    <row r="43" spans="1:22" ht="20.100000000000001" customHeight="1">
      <c r="A43" s="250" t="s">
        <v>19</v>
      </c>
      <c r="B43" s="251">
        <v>210662</v>
      </c>
      <c r="C43" s="252">
        <f t="shared" si="11"/>
        <v>166284.068</v>
      </c>
      <c r="D43" s="253">
        <f t="shared" si="1"/>
        <v>78.934059298781932</v>
      </c>
      <c r="E43" s="243">
        <f t="shared" si="12"/>
        <v>573.24099999999999</v>
      </c>
      <c r="F43" s="254">
        <f t="shared" si="13"/>
        <v>13680.611999999999</v>
      </c>
      <c r="G43" s="255">
        <f t="shared" si="4"/>
        <v>8.2272536175865021</v>
      </c>
      <c r="H43" s="243">
        <f t="shared" si="14"/>
        <v>88.977999999999994</v>
      </c>
      <c r="I43" s="246">
        <f t="shared" si="6"/>
        <v>0</v>
      </c>
      <c r="J43" s="256">
        <f t="shared" si="7"/>
        <v>0</v>
      </c>
      <c r="K43" s="257">
        <f t="shared" si="8"/>
        <v>3.1573623719512773</v>
      </c>
      <c r="L43" s="257">
        <f t="shared" si="9"/>
        <v>23.680217789634579</v>
      </c>
      <c r="M43" s="258">
        <f t="shared" si="10"/>
        <v>39</v>
      </c>
      <c r="O43" s="498" t="s">
        <v>23</v>
      </c>
      <c r="P43" s="499"/>
      <c r="Q43" s="10">
        <v>112152467</v>
      </c>
      <c r="S43" s="498" t="s">
        <v>23</v>
      </c>
      <c r="T43" s="499"/>
      <c r="U43" s="10">
        <v>8285879</v>
      </c>
    </row>
    <row r="44" spans="1:22" ht="20.100000000000001" customHeight="1">
      <c r="A44" s="259" t="s">
        <v>36</v>
      </c>
      <c r="B44" s="251">
        <v>89892</v>
      </c>
      <c r="C44" s="252">
        <f t="shared" si="11"/>
        <v>69329.548999999999</v>
      </c>
      <c r="D44" s="253">
        <f t="shared" si="1"/>
        <v>77.125382681439959</v>
      </c>
      <c r="E44" s="243">
        <f t="shared" si="12"/>
        <v>236.703</v>
      </c>
      <c r="F44" s="254">
        <f t="shared" si="13"/>
        <v>3844.951</v>
      </c>
      <c r="G44" s="255">
        <f t="shared" si="4"/>
        <v>5.5459051089456821</v>
      </c>
      <c r="H44" s="243">
        <f t="shared" si="14"/>
        <v>37.238999999999997</v>
      </c>
      <c r="I44" s="246">
        <f t="shared" si="6"/>
        <v>1.2999999999999999E-3</v>
      </c>
      <c r="J44" s="256">
        <f t="shared" si="7"/>
        <v>0.03</v>
      </c>
      <c r="K44" s="257">
        <f t="shared" si="8"/>
        <v>3.0837153072575982</v>
      </c>
      <c r="L44" s="257">
        <f t="shared" si="9"/>
        <v>23.107614804431986</v>
      </c>
      <c r="M44" s="258">
        <f t="shared" si="10"/>
        <v>40</v>
      </c>
      <c r="O44" s="498" t="s">
        <v>24</v>
      </c>
      <c r="P44" s="499"/>
      <c r="Q44" s="10">
        <v>157472445</v>
      </c>
      <c r="S44" s="498" t="s">
        <v>24</v>
      </c>
      <c r="T44" s="499"/>
      <c r="U44" s="10">
        <v>11042641</v>
      </c>
    </row>
    <row r="45" spans="1:22" ht="17.25" thickBot="1">
      <c r="A45" s="220" t="s">
        <v>45</v>
      </c>
      <c r="B45" s="260">
        <f>SUM(B5:B44)</f>
        <v>7775000</v>
      </c>
      <c r="C45" s="261">
        <f>SUM(C5:C44)</f>
        <v>6672861.1859999998</v>
      </c>
      <c r="D45" s="262">
        <f t="shared" si="1"/>
        <v>85.824581170418</v>
      </c>
      <c r="E45" s="263">
        <f>SUM(E5:E44)</f>
        <v>23606.415000000001</v>
      </c>
      <c r="F45" s="264">
        <f>SUM(F5:F44)</f>
        <v>499278.08300000016</v>
      </c>
      <c r="G45" s="262">
        <f t="shared" si="4"/>
        <v>7.4822189325249377</v>
      </c>
      <c r="H45" s="261">
        <f>SUM(H5:H44)</f>
        <v>3359.337</v>
      </c>
      <c r="I45" s="265"/>
      <c r="J45" s="266"/>
      <c r="K45" s="267"/>
      <c r="L45" s="267"/>
      <c r="M45" s="268"/>
      <c r="O45" s="498" t="s">
        <v>27</v>
      </c>
      <c r="P45" s="499"/>
      <c r="Q45" s="10">
        <v>233724989</v>
      </c>
      <c r="S45" s="498" t="s">
        <v>27</v>
      </c>
      <c r="T45" s="499"/>
      <c r="U45" s="10">
        <v>18336664</v>
      </c>
      <c r="V45" s="44" t="s">
        <v>159</v>
      </c>
    </row>
    <row r="46" spans="1:22">
      <c r="O46" s="500"/>
      <c r="P46" s="501"/>
      <c r="Q46" s="6">
        <v>6672861186</v>
      </c>
      <c r="U46" s="6">
        <v>499278083</v>
      </c>
    </row>
    <row r="47" spans="1:22">
      <c r="Q47" s="6">
        <v>6672861186</v>
      </c>
      <c r="U47" s="6">
        <v>499278083</v>
      </c>
    </row>
    <row r="48" spans="1:22">
      <c r="O48" s="44" t="s">
        <v>160</v>
      </c>
      <c r="S48" s="44" t="s">
        <v>160</v>
      </c>
    </row>
    <row r="49" spans="15:21">
      <c r="O49" s="44" t="s">
        <v>152</v>
      </c>
      <c r="S49" s="44" t="s">
        <v>153</v>
      </c>
    </row>
    <row r="50" spans="15:21" ht="22.5">
      <c r="O50" s="270"/>
      <c r="P50" s="271" t="s">
        <v>68</v>
      </c>
      <c r="Q50" s="272" t="s">
        <v>69</v>
      </c>
      <c r="S50" s="270"/>
      <c r="T50" s="271" t="s">
        <v>68</v>
      </c>
      <c r="U50" s="272" t="s">
        <v>70</v>
      </c>
    </row>
    <row r="51" spans="15:21">
      <c r="O51" s="504" t="s">
        <v>25</v>
      </c>
      <c r="P51" s="505"/>
      <c r="Q51" s="10">
        <v>306024755</v>
      </c>
      <c r="S51" s="504" t="s">
        <v>25</v>
      </c>
      <c r="T51" s="505"/>
      <c r="U51" s="10">
        <v>22910031</v>
      </c>
    </row>
    <row r="52" spans="15:21">
      <c r="O52" s="498" t="s">
        <v>4</v>
      </c>
      <c r="P52" s="499"/>
      <c r="Q52" s="10">
        <v>353696512</v>
      </c>
      <c r="S52" s="498" t="s">
        <v>4</v>
      </c>
      <c r="T52" s="499"/>
      <c r="U52" s="10">
        <v>18765515</v>
      </c>
    </row>
    <row r="53" spans="15:21">
      <c r="O53" s="498" t="s">
        <v>8</v>
      </c>
      <c r="P53" s="499"/>
      <c r="Q53" s="10">
        <v>242749580</v>
      </c>
      <c r="S53" s="498" t="s">
        <v>8</v>
      </c>
      <c r="T53" s="499"/>
      <c r="U53" s="10">
        <v>22042789</v>
      </c>
    </row>
    <row r="54" spans="15:21">
      <c r="O54" s="498" t="s">
        <v>40</v>
      </c>
      <c r="P54" s="499"/>
      <c r="Q54" s="10">
        <v>85751250</v>
      </c>
      <c r="S54" s="498" t="s">
        <v>40</v>
      </c>
      <c r="T54" s="499"/>
      <c r="U54" s="10">
        <v>7496129</v>
      </c>
    </row>
    <row r="55" spans="15:21">
      <c r="O55" s="498" t="s">
        <v>37</v>
      </c>
      <c r="P55" s="499"/>
      <c r="Q55" s="10">
        <v>105415155</v>
      </c>
      <c r="S55" s="498" t="s">
        <v>37</v>
      </c>
      <c r="T55" s="499"/>
      <c r="U55" s="10">
        <v>9761565</v>
      </c>
    </row>
    <row r="56" spans="15:21">
      <c r="O56" s="498" t="s">
        <v>33</v>
      </c>
      <c r="P56" s="499"/>
      <c r="Q56" s="10">
        <v>75129649</v>
      </c>
      <c r="S56" s="498" t="s">
        <v>33</v>
      </c>
      <c r="T56" s="499"/>
      <c r="U56" s="10">
        <v>5301959</v>
      </c>
    </row>
    <row r="57" spans="15:21">
      <c r="O57" s="498" t="s">
        <v>28</v>
      </c>
      <c r="P57" s="499"/>
      <c r="Q57" s="10">
        <v>175039550</v>
      </c>
      <c r="S57" s="498" t="s">
        <v>28</v>
      </c>
      <c r="T57" s="499"/>
      <c r="U57" s="10">
        <v>14736318</v>
      </c>
    </row>
    <row r="58" spans="15:21">
      <c r="O58" s="498" t="s">
        <v>31</v>
      </c>
      <c r="P58" s="499"/>
      <c r="Q58" s="10">
        <v>55685105</v>
      </c>
      <c r="S58" s="498" t="s">
        <v>31</v>
      </c>
      <c r="T58" s="499"/>
      <c r="U58" s="10">
        <v>3250478</v>
      </c>
    </row>
    <row r="59" spans="15:21">
      <c r="O59" s="498" t="s">
        <v>32</v>
      </c>
      <c r="P59" s="499"/>
      <c r="Q59" s="10">
        <v>90767885</v>
      </c>
      <c r="S59" s="498" t="s">
        <v>32</v>
      </c>
      <c r="T59" s="499"/>
      <c r="U59" s="10">
        <v>6663920</v>
      </c>
    </row>
    <row r="60" spans="15:21">
      <c r="O60" s="498" t="s">
        <v>34</v>
      </c>
      <c r="P60" s="499"/>
      <c r="Q60" s="10">
        <v>108298592</v>
      </c>
      <c r="S60" s="498" t="s">
        <v>34</v>
      </c>
      <c r="T60" s="499"/>
      <c r="U60" s="10">
        <v>8569327</v>
      </c>
    </row>
    <row r="61" spans="15:21">
      <c r="O61" s="498" t="s">
        <v>36</v>
      </c>
      <c r="P61" s="499"/>
      <c r="Q61" s="10">
        <v>69092846</v>
      </c>
      <c r="S61" s="498" t="s">
        <v>36</v>
      </c>
      <c r="T61" s="499"/>
      <c r="U61" s="10">
        <v>3807712</v>
      </c>
    </row>
    <row r="62" spans="15:21">
      <c r="O62" s="498" t="s">
        <v>29</v>
      </c>
      <c r="P62" s="499"/>
      <c r="Q62" s="10">
        <v>154471464</v>
      </c>
      <c r="S62" s="498" t="s">
        <v>29</v>
      </c>
      <c r="T62" s="499"/>
      <c r="U62" s="10">
        <v>10839979</v>
      </c>
    </row>
    <row r="63" spans="15:21">
      <c r="O63" s="498" t="s">
        <v>30</v>
      </c>
      <c r="P63" s="499"/>
      <c r="Q63" s="10">
        <v>132193779</v>
      </c>
      <c r="S63" s="498" t="s">
        <v>30</v>
      </c>
      <c r="T63" s="499"/>
      <c r="U63" s="10">
        <v>13489891</v>
      </c>
    </row>
    <row r="64" spans="15:21">
      <c r="O64" s="498" t="s">
        <v>35</v>
      </c>
      <c r="P64" s="499"/>
      <c r="Q64" s="10">
        <v>105349380</v>
      </c>
      <c r="S64" s="498" t="s">
        <v>35</v>
      </c>
      <c r="T64" s="499"/>
      <c r="U64" s="10">
        <v>8249794</v>
      </c>
    </row>
    <row r="65" spans="15:22">
      <c r="O65" s="498" t="s">
        <v>9</v>
      </c>
      <c r="P65" s="499"/>
      <c r="Q65" s="10">
        <v>204581037</v>
      </c>
      <c r="S65" s="498" t="s">
        <v>9</v>
      </c>
      <c r="T65" s="499"/>
      <c r="U65" s="10">
        <v>15325923</v>
      </c>
    </row>
    <row r="66" spans="15:22">
      <c r="O66" s="498" t="s">
        <v>26</v>
      </c>
      <c r="P66" s="499"/>
      <c r="Q66" s="10">
        <v>183574108</v>
      </c>
      <c r="S66" s="498" t="s">
        <v>26</v>
      </c>
      <c r="T66" s="499"/>
      <c r="U66" s="10">
        <v>15226201</v>
      </c>
    </row>
    <row r="67" spans="15:22">
      <c r="O67" s="498" t="s">
        <v>38</v>
      </c>
      <c r="P67" s="499"/>
      <c r="Q67" s="10">
        <v>87746866</v>
      </c>
      <c r="S67" s="498" t="s">
        <v>38</v>
      </c>
      <c r="T67" s="499"/>
      <c r="U67" s="10">
        <v>7528346</v>
      </c>
    </row>
    <row r="68" spans="15:22">
      <c r="O68" s="498" t="s">
        <v>10</v>
      </c>
      <c r="P68" s="499"/>
      <c r="Q68" s="10">
        <v>208816450</v>
      </c>
      <c r="S68" s="498" t="s">
        <v>10</v>
      </c>
      <c r="T68" s="499"/>
      <c r="U68" s="10">
        <v>15542430</v>
      </c>
    </row>
    <row r="69" spans="15:22">
      <c r="O69" s="498" t="s">
        <v>42</v>
      </c>
      <c r="P69" s="499"/>
      <c r="Q69" s="10">
        <v>61081838</v>
      </c>
      <c r="S69" s="498" t="s">
        <v>42</v>
      </c>
      <c r="T69" s="499"/>
      <c r="U69" s="10">
        <v>3444276</v>
      </c>
    </row>
    <row r="70" spans="15:22">
      <c r="O70" s="498" t="s">
        <v>39</v>
      </c>
      <c r="P70" s="499"/>
      <c r="Q70" s="10">
        <v>60623214</v>
      </c>
      <c r="S70" s="498" t="s">
        <v>39</v>
      </c>
      <c r="T70" s="499"/>
      <c r="U70" s="10">
        <v>4102801</v>
      </c>
    </row>
    <row r="71" spans="15:22">
      <c r="O71" s="498" t="s">
        <v>41</v>
      </c>
      <c r="P71" s="499"/>
      <c r="Q71" s="10">
        <v>33908280</v>
      </c>
      <c r="S71" s="498" t="s">
        <v>41</v>
      </c>
      <c r="T71" s="499"/>
      <c r="U71" s="10">
        <v>2125809</v>
      </c>
    </row>
    <row r="72" spans="15:22">
      <c r="O72" s="498" t="s">
        <v>21</v>
      </c>
      <c r="P72" s="499"/>
      <c r="Q72" s="10">
        <v>215885921</v>
      </c>
      <c r="S72" s="498" t="s">
        <v>21</v>
      </c>
      <c r="T72" s="499"/>
      <c r="U72" s="10">
        <v>15757367</v>
      </c>
    </row>
    <row r="73" spans="15:22">
      <c r="O73" s="498" t="s">
        <v>43</v>
      </c>
      <c r="P73" s="499"/>
      <c r="Q73" s="10">
        <v>82815545</v>
      </c>
      <c r="S73" s="498" t="s">
        <v>43</v>
      </c>
      <c r="T73" s="499"/>
      <c r="U73" s="10">
        <v>6808822</v>
      </c>
    </row>
    <row r="74" spans="15:22">
      <c r="O74" s="498" t="s">
        <v>15</v>
      </c>
      <c r="P74" s="499"/>
      <c r="Q74" s="10">
        <v>261880035</v>
      </c>
      <c r="S74" s="498" t="s">
        <v>15</v>
      </c>
      <c r="T74" s="499"/>
      <c r="U74" s="10">
        <v>17644783</v>
      </c>
    </row>
    <row r="75" spans="15:22">
      <c r="O75" s="498" t="s">
        <v>22</v>
      </c>
      <c r="P75" s="499"/>
      <c r="Q75" s="10">
        <v>141975532</v>
      </c>
      <c r="S75" s="498" t="s">
        <v>22</v>
      </c>
      <c r="T75" s="499"/>
      <c r="U75" s="10">
        <v>7809373</v>
      </c>
    </row>
    <row r="76" spans="15:22">
      <c r="O76" s="502" t="s">
        <v>7</v>
      </c>
      <c r="P76" s="503"/>
      <c r="Q76" s="10">
        <v>196544831</v>
      </c>
      <c r="R76" s="9">
        <f>Q76+Q80</f>
        <v>388006222</v>
      </c>
      <c r="S76" s="502" t="s">
        <v>7</v>
      </c>
      <c r="T76" s="503"/>
      <c r="U76" s="10">
        <v>16020018</v>
      </c>
      <c r="V76" s="9">
        <f>U76+U80</f>
        <v>34172623</v>
      </c>
    </row>
    <row r="77" spans="15:22">
      <c r="O77" s="498" t="s">
        <v>18</v>
      </c>
      <c r="P77" s="499"/>
      <c r="Q77" s="10">
        <v>466063187</v>
      </c>
      <c r="S77" s="498" t="s">
        <v>18</v>
      </c>
      <c r="T77" s="499"/>
      <c r="U77" s="10">
        <v>23986490</v>
      </c>
    </row>
    <row r="78" spans="15:22">
      <c r="O78" s="498" t="s">
        <v>12</v>
      </c>
      <c r="P78" s="499"/>
      <c r="Q78" s="10">
        <v>98949588</v>
      </c>
      <c r="S78" s="498" t="s">
        <v>12</v>
      </c>
      <c r="T78" s="499"/>
      <c r="U78" s="10">
        <v>7517530</v>
      </c>
    </row>
    <row r="79" spans="15:22">
      <c r="O79" s="498" t="s">
        <v>11</v>
      </c>
      <c r="P79" s="499"/>
      <c r="Q79" s="10">
        <v>165793890</v>
      </c>
      <c r="S79" s="498" t="s">
        <v>11</v>
      </c>
      <c r="T79" s="499"/>
      <c r="U79" s="10">
        <v>13585105</v>
      </c>
    </row>
    <row r="80" spans="15:22">
      <c r="O80" s="502" t="s">
        <v>63</v>
      </c>
      <c r="P80" s="503"/>
      <c r="Q80" s="10">
        <v>191461391</v>
      </c>
      <c r="S80" s="502" t="s">
        <v>63</v>
      </c>
      <c r="T80" s="503"/>
      <c r="U80" s="10">
        <v>18152605</v>
      </c>
    </row>
    <row r="81" spans="15:22">
      <c r="O81" s="498" t="s">
        <v>13</v>
      </c>
      <c r="P81" s="499"/>
      <c r="Q81" s="10">
        <v>120724620</v>
      </c>
      <c r="S81" s="498" t="s">
        <v>13</v>
      </c>
      <c r="T81" s="499"/>
      <c r="U81" s="10">
        <v>11327904</v>
      </c>
    </row>
    <row r="82" spans="15:22">
      <c r="O82" s="498" t="s">
        <v>14</v>
      </c>
      <c r="P82" s="499"/>
      <c r="Q82" s="10">
        <v>169844046</v>
      </c>
      <c r="S82" s="498" t="s">
        <v>14</v>
      </c>
      <c r="T82" s="499"/>
      <c r="U82" s="10">
        <v>11547186</v>
      </c>
    </row>
    <row r="83" spans="15:22">
      <c r="O83" s="498" t="s">
        <v>16</v>
      </c>
      <c r="P83" s="499"/>
      <c r="Q83" s="10">
        <v>147859534</v>
      </c>
      <c r="S83" s="498" t="s">
        <v>16</v>
      </c>
      <c r="T83" s="499"/>
      <c r="U83" s="10">
        <v>11420629</v>
      </c>
    </row>
    <row r="84" spans="15:22">
      <c r="O84" s="498" t="s">
        <v>19</v>
      </c>
      <c r="P84" s="499"/>
      <c r="Q84" s="10">
        <v>165710827</v>
      </c>
      <c r="S84" s="498" t="s">
        <v>19</v>
      </c>
      <c r="T84" s="499"/>
      <c r="U84" s="10">
        <v>13591634</v>
      </c>
    </row>
    <row r="85" spans="15:22">
      <c r="O85" s="498" t="s">
        <v>5</v>
      </c>
      <c r="P85" s="499"/>
      <c r="Q85" s="10">
        <v>203669080</v>
      </c>
      <c r="S85" s="498" t="s">
        <v>5</v>
      </c>
      <c r="T85" s="499"/>
      <c r="U85" s="10">
        <v>17516856</v>
      </c>
    </row>
    <row r="86" spans="15:22">
      <c r="O86" s="498" t="s">
        <v>17</v>
      </c>
      <c r="P86" s="499"/>
      <c r="Q86" s="10">
        <v>314148234</v>
      </c>
      <c r="S86" s="498" t="s">
        <v>17</v>
      </c>
      <c r="T86" s="499"/>
      <c r="U86" s="10">
        <v>23494204</v>
      </c>
    </row>
    <row r="87" spans="15:22">
      <c r="O87" s="498" t="s">
        <v>20</v>
      </c>
      <c r="P87" s="499"/>
      <c r="Q87" s="10">
        <v>158134870</v>
      </c>
      <c r="S87" s="498" t="s">
        <v>20</v>
      </c>
      <c r="T87" s="499"/>
      <c r="U87" s="10">
        <v>12419118</v>
      </c>
    </row>
    <row r="88" spans="15:22">
      <c r="O88" s="498" t="s">
        <v>6</v>
      </c>
      <c r="P88" s="499"/>
      <c r="Q88" s="10">
        <v>145935006</v>
      </c>
      <c r="S88" s="498" t="s">
        <v>6</v>
      </c>
      <c r="T88" s="499"/>
      <c r="U88" s="10">
        <v>10704741</v>
      </c>
    </row>
    <row r="89" spans="15:22">
      <c r="O89" s="498" t="s">
        <v>23</v>
      </c>
      <c r="P89" s="499"/>
      <c r="Q89" s="10">
        <v>111849468</v>
      </c>
      <c r="S89" s="498" t="s">
        <v>23</v>
      </c>
      <c r="T89" s="499"/>
      <c r="U89" s="10">
        <v>8253007</v>
      </c>
    </row>
    <row r="90" spans="15:22">
      <c r="O90" s="498" t="s">
        <v>24</v>
      </c>
      <c r="P90" s="499"/>
      <c r="Q90" s="10">
        <v>157027792</v>
      </c>
      <c r="S90" s="498" t="s">
        <v>24</v>
      </c>
      <c r="T90" s="499"/>
      <c r="U90" s="10">
        <v>10963150</v>
      </c>
    </row>
    <row r="91" spans="15:22">
      <c r="O91" s="498" t="s">
        <v>27</v>
      </c>
      <c r="P91" s="499"/>
      <c r="Q91" s="10">
        <v>232984079</v>
      </c>
      <c r="S91" s="498" t="s">
        <v>27</v>
      </c>
      <c r="T91" s="499"/>
      <c r="U91" s="10">
        <v>18217031</v>
      </c>
      <c r="V91" s="9"/>
    </row>
    <row r="92" spans="15:22">
      <c r="O92" s="500"/>
      <c r="P92" s="501"/>
      <c r="Q92" s="6">
        <v>6649254771</v>
      </c>
      <c r="U92" s="6">
        <v>495918746</v>
      </c>
    </row>
    <row r="93" spans="15:22">
      <c r="Q93" s="6">
        <v>6649254771</v>
      </c>
      <c r="U93" s="6">
        <v>495918746</v>
      </c>
    </row>
  </sheetData>
  <mergeCells count="174">
    <mergeCell ref="A1:M1"/>
    <mergeCell ref="L2:M2"/>
    <mergeCell ref="A3:A4"/>
    <mergeCell ref="B3:D3"/>
    <mergeCell ref="F3:J3"/>
    <mergeCell ref="K3:K4"/>
    <mergeCell ref="L3:L4"/>
    <mergeCell ref="M3:M4"/>
    <mergeCell ref="O8:P8"/>
    <mergeCell ref="S8:T8"/>
    <mergeCell ref="O9:P9"/>
    <mergeCell ref="S9:T9"/>
    <mergeCell ref="O10:P10"/>
    <mergeCell ref="S10:T10"/>
    <mergeCell ref="O5:P5"/>
    <mergeCell ref="S5:T5"/>
    <mergeCell ref="O6:P6"/>
    <mergeCell ref="S6:T6"/>
    <mergeCell ref="O7:P7"/>
    <mergeCell ref="S7:T7"/>
    <mergeCell ref="O14:P14"/>
    <mergeCell ref="S14:T14"/>
    <mergeCell ref="O15:P15"/>
    <mergeCell ref="S15:T15"/>
    <mergeCell ref="O16:P16"/>
    <mergeCell ref="S16:T16"/>
    <mergeCell ref="O11:P11"/>
    <mergeCell ref="S11:T11"/>
    <mergeCell ref="O12:P12"/>
    <mergeCell ref="S12:T12"/>
    <mergeCell ref="O13:P13"/>
    <mergeCell ref="S13:T13"/>
    <mergeCell ref="O20:P20"/>
    <mergeCell ref="S20:T20"/>
    <mergeCell ref="O21:P21"/>
    <mergeCell ref="S21:T21"/>
    <mergeCell ref="O22:P22"/>
    <mergeCell ref="S22:T22"/>
    <mergeCell ref="O17:P17"/>
    <mergeCell ref="S17:T17"/>
    <mergeCell ref="O18:P18"/>
    <mergeCell ref="S18:T18"/>
    <mergeCell ref="O19:P19"/>
    <mergeCell ref="S19:T19"/>
    <mergeCell ref="O26:P26"/>
    <mergeCell ref="S26:T26"/>
    <mergeCell ref="O27:P27"/>
    <mergeCell ref="S27:T27"/>
    <mergeCell ref="O28:P28"/>
    <mergeCell ref="S28:T28"/>
    <mergeCell ref="O23:P23"/>
    <mergeCell ref="S23:T23"/>
    <mergeCell ref="O24:P24"/>
    <mergeCell ref="S24:T24"/>
    <mergeCell ref="O25:P25"/>
    <mergeCell ref="S25:T25"/>
    <mergeCell ref="O32:P32"/>
    <mergeCell ref="S32:T32"/>
    <mergeCell ref="O33:P33"/>
    <mergeCell ref="S33:T33"/>
    <mergeCell ref="O34:P34"/>
    <mergeCell ref="S34:T34"/>
    <mergeCell ref="O29:P29"/>
    <mergeCell ref="S29:T29"/>
    <mergeCell ref="O30:P30"/>
    <mergeCell ref="S30:T30"/>
    <mergeCell ref="O31:P31"/>
    <mergeCell ref="S31:T31"/>
    <mergeCell ref="O38:P38"/>
    <mergeCell ref="S38:T38"/>
    <mergeCell ref="O39:P39"/>
    <mergeCell ref="S39:T39"/>
    <mergeCell ref="O40:P40"/>
    <mergeCell ref="S40:T40"/>
    <mergeCell ref="O35:P35"/>
    <mergeCell ref="S35:T35"/>
    <mergeCell ref="O36:P36"/>
    <mergeCell ref="S36:T36"/>
    <mergeCell ref="O37:P37"/>
    <mergeCell ref="S37:T37"/>
    <mergeCell ref="O44:P44"/>
    <mergeCell ref="S44:T44"/>
    <mergeCell ref="O45:P45"/>
    <mergeCell ref="S45:T45"/>
    <mergeCell ref="O46:P46"/>
    <mergeCell ref="O51:P51"/>
    <mergeCell ref="S51:T51"/>
    <mergeCell ref="O41:P41"/>
    <mergeCell ref="S41:T41"/>
    <mergeCell ref="O42:P42"/>
    <mergeCell ref="S42:T42"/>
    <mergeCell ref="O43:P43"/>
    <mergeCell ref="S43:T43"/>
    <mergeCell ref="O55:P55"/>
    <mergeCell ref="S55:T55"/>
    <mergeCell ref="O56:P56"/>
    <mergeCell ref="S56:T56"/>
    <mergeCell ref="O57:P57"/>
    <mergeCell ref="S57:T57"/>
    <mergeCell ref="O52:P52"/>
    <mergeCell ref="S52:T52"/>
    <mergeCell ref="O53:P53"/>
    <mergeCell ref="S53:T53"/>
    <mergeCell ref="O54:P54"/>
    <mergeCell ref="S54:T54"/>
    <mergeCell ref="O61:P61"/>
    <mergeCell ref="S61:T61"/>
    <mergeCell ref="O62:P62"/>
    <mergeCell ref="S62:T62"/>
    <mergeCell ref="O63:P63"/>
    <mergeCell ref="S63:T63"/>
    <mergeCell ref="O58:P58"/>
    <mergeCell ref="S58:T58"/>
    <mergeCell ref="O59:P59"/>
    <mergeCell ref="S59:T59"/>
    <mergeCell ref="O60:P60"/>
    <mergeCell ref="S60:T60"/>
    <mergeCell ref="O67:P67"/>
    <mergeCell ref="S67:T67"/>
    <mergeCell ref="O68:P68"/>
    <mergeCell ref="S68:T68"/>
    <mergeCell ref="O69:P69"/>
    <mergeCell ref="S69:T69"/>
    <mergeCell ref="O64:P64"/>
    <mergeCell ref="S64:T64"/>
    <mergeCell ref="O65:P65"/>
    <mergeCell ref="S65:T65"/>
    <mergeCell ref="O66:P66"/>
    <mergeCell ref="S66:T66"/>
    <mergeCell ref="O73:P73"/>
    <mergeCell ref="S73:T73"/>
    <mergeCell ref="O74:P74"/>
    <mergeCell ref="S74:T74"/>
    <mergeCell ref="O75:P75"/>
    <mergeCell ref="S75:T75"/>
    <mergeCell ref="O70:P70"/>
    <mergeCell ref="S70:T70"/>
    <mergeCell ref="O71:P71"/>
    <mergeCell ref="S71:T71"/>
    <mergeCell ref="O72:P72"/>
    <mergeCell ref="S72:T72"/>
    <mergeCell ref="O79:P79"/>
    <mergeCell ref="S79:T79"/>
    <mergeCell ref="O80:P80"/>
    <mergeCell ref="S80:T80"/>
    <mergeCell ref="O81:P81"/>
    <mergeCell ref="S81:T81"/>
    <mergeCell ref="O76:P76"/>
    <mergeCell ref="S76:T76"/>
    <mergeCell ref="O77:P77"/>
    <mergeCell ref="S77:T77"/>
    <mergeCell ref="O78:P78"/>
    <mergeCell ref="S78:T78"/>
    <mergeCell ref="O85:P85"/>
    <mergeCell ref="S85:T85"/>
    <mergeCell ref="O86:P86"/>
    <mergeCell ref="S86:T86"/>
    <mergeCell ref="O87:P87"/>
    <mergeCell ref="S87:T87"/>
    <mergeCell ref="O82:P82"/>
    <mergeCell ref="S82:T82"/>
    <mergeCell ref="O83:P83"/>
    <mergeCell ref="S83:T83"/>
    <mergeCell ref="O84:P84"/>
    <mergeCell ref="S84:T84"/>
    <mergeCell ref="O91:P91"/>
    <mergeCell ref="S91:T91"/>
    <mergeCell ref="O92:P92"/>
    <mergeCell ref="O88:P88"/>
    <mergeCell ref="S88:T88"/>
    <mergeCell ref="O89:P89"/>
    <mergeCell ref="S89:T89"/>
    <mergeCell ref="O90:P90"/>
    <mergeCell ref="S90:T90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X97"/>
  <sheetViews>
    <sheetView workbookViewId="0">
      <selection activeCell="F14" sqref="F14"/>
    </sheetView>
  </sheetViews>
  <sheetFormatPr defaultColWidth="9" defaultRowHeight="16.5"/>
  <cols>
    <col min="1" max="1" width="11.125" style="44" bestFit="1" customWidth="1"/>
    <col min="2" max="2" width="9.375" style="44" bestFit="1" customWidth="1"/>
    <col min="3" max="5" width="8.875" style="44" customWidth="1"/>
    <col min="6" max="6" width="11.875" style="44" customWidth="1"/>
    <col min="7" max="7" width="11.5" style="44" hidden="1" customWidth="1"/>
    <col min="8" max="8" width="10.875" style="44" customWidth="1"/>
    <col min="9" max="9" width="9" style="44" customWidth="1"/>
    <col min="10" max="10" width="8.625" style="44" customWidth="1"/>
    <col min="11" max="11" width="10.875" style="44" customWidth="1"/>
    <col min="12" max="12" width="11.25" style="44" customWidth="1"/>
    <col min="13" max="13" width="6" style="44" customWidth="1"/>
    <col min="14" max="14" width="9.5" style="44" customWidth="1"/>
    <col min="15" max="20" width="9.5" style="44" hidden="1" customWidth="1"/>
    <col min="21" max="21" width="8.5" style="44" hidden="1" customWidth="1"/>
    <col min="22" max="22" width="9.5" style="44" hidden="1" customWidth="1"/>
    <col min="23" max="24" width="9" style="44" hidden="1" customWidth="1"/>
    <col min="25" max="31" width="9" style="44" customWidth="1"/>
    <col min="32" max="16384" width="9" style="44"/>
  </cols>
  <sheetData>
    <row r="1" spans="1:24" ht="31.5">
      <c r="A1" s="506" t="s">
        <v>161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</row>
    <row r="2" spans="1:24" ht="17.25" thickBot="1">
      <c r="A2" s="273">
        <f>[1]종합점수!A2</f>
        <v>42338</v>
      </c>
      <c r="L2" s="520" t="s">
        <v>162</v>
      </c>
      <c r="M2" s="520"/>
    </row>
    <row r="3" spans="1:24">
      <c r="A3" s="508" t="s">
        <v>64</v>
      </c>
      <c r="B3" s="510" t="s">
        <v>71</v>
      </c>
      <c r="C3" s="511"/>
      <c r="D3" s="511"/>
      <c r="E3" s="521"/>
      <c r="F3" s="510" t="s">
        <v>163</v>
      </c>
      <c r="G3" s="511"/>
      <c r="H3" s="521"/>
      <c r="I3" s="510" t="s">
        <v>164</v>
      </c>
      <c r="J3" s="521"/>
      <c r="K3" s="522" t="s">
        <v>67</v>
      </c>
      <c r="L3" s="522" t="s">
        <v>165</v>
      </c>
      <c r="M3" s="518" t="s">
        <v>0</v>
      </c>
      <c r="O3" s="44">
        <v>1</v>
      </c>
      <c r="P3" s="44">
        <v>2</v>
      </c>
      <c r="Q3" s="44">
        <v>3</v>
      </c>
      <c r="R3" s="44">
        <v>4</v>
      </c>
      <c r="S3" s="44">
        <v>5</v>
      </c>
      <c r="T3" s="44">
        <v>6</v>
      </c>
      <c r="U3" s="44">
        <v>7</v>
      </c>
      <c r="V3" s="44">
        <v>8</v>
      </c>
      <c r="W3" s="44">
        <v>9</v>
      </c>
      <c r="X3" s="44">
        <v>10</v>
      </c>
    </row>
    <row r="4" spans="1:24" ht="17.25" thickBot="1">
      <c r="A4" s="509"/>
      <c r="B4" s="229" t="s">
        <v>1</v>
      </c>
      <c r="C4" s="229" t="s">
        <v>2</v>
      </c>
      <c r="D4" s="229" t="s">
        <v>3</v>
      </c>
      <c r="E4" s="274" t="s">
        <v>50</v>
      </c>
      <c r="F4" s="230" t="s">
        <v>163</v>
      </c>
      <c r="G4" s="229"/>
      <c r="H4" s="274" t="s">
        <v>166</v>
      </c>
      <c r="I4" s="229" t="s">
        <v>167</v>
      </c>
      <c r="J4" s="229" t="s">
        <v>168</v>
      </c>
      <c r="K4" s="523"/>
      <c r="L4" s="523"/>
      <c r="M4" s="519"/>
      <c r="O4" s="44" t="s">
        <v>149</v>
      </c>
    </row>
    <row r="5" spans="1:24" ht="18" customHeight="1">
      <c r="A5" s="275" t="s">
        <v>4</v>
      </c>
      <c r="B5" s="57">
        <v>10583</v>
      </c>
      <c r="C5" s="276">
        <f>VLOOKUP(A5,$O$6:$T$48,3,FALSE)</f>
        <v>10699</v>
      </c>
      <c r="D5" s="277">
        <f t="shared" ref="D5:D44" si="0">C5/B5%</f>
        <v>101.09609751488236</v>
      </c>
      <c r="E5" s="278">
        <f>VLOOKUP(A5,$O$6:$T$47,3,FALSE)-VLOOKUP(A5,$O$53:$T$95,3,FALSE)</f>
        <v>1</v>
      </c>
      <c r="F5" s="279">
        <f>VLOOKUP(A5,$O$6:$T$48,6,FALSE)</f>
        <v>1723</v>
      </c>
      <c r="G5" s="279">
        <f>VLOOKUP(A5,$O$6:$T$48,6,FALSE)</f>
        <v>1723</v>
      </c>
      <c r="H5" s="280">
        <f>VLOOKUP(A5,$O$6:$U$48,7,FALSE)*100</f>
        <v>72.334172963895909</v>
      </c>
      <c r="I5" s="281">
        <f t="shared" ref="I5:I44" si="1">IF(H5&gt;=40,0,IF(H5&gt;=37,0.0003,IF(H5&gt;=33,0.0006,IF(H5&gt;=30,0.001,0.0013))))</f>
        <v>0</v>
      </c>
      <c r="J5" s="282">
        <f t="shared" ref="J5:J44" si="2">IF(H5&gt;=40,0,IF(H5&gt;=37,0.01,IF(H5&gt;=33,0.02,IF(H5&gt;=30,0.03,0.04))))</f>
        <v>0</v>
      </c>
      <c r="K5" s="283">
        <f t="shared" ref="K5:K44" si="3">IF(D5&gt;=100,4,D5*0.04)-I5</f>
        <v>4</v>
      </c>
      <c r="L5" s="283">
        <f t="shared" ref="L5:L44" si="4">IF(D5&gt;=100,30,D5*0.3)-J5</f>
        <v>30</v>
      </c>
      <c r="M5" s="284">
        <f t="shared" ref="M5:M44" si="5">RANK(L5,$L$5:$L$44)</f>
        <v>1</v>
      </c>
      <c r="O5" s="270"/>
      <c r="P5" s="285" t="s">
        <v>72</v>
      </c>
      <c r="Q5" s="285" t="s">
        <v>73</v>
      </c>
      <c r="R5" s="285" t="s">
        <v>74</v>
      </c>
      <c r="S5" s="285" t="s">
        <v>169</v>
      </c>
      <c r="T5" s="285" t="s">
        <v>75</v>
      </c>
      <c r="U5" s="272" t="s">
        <v>166</v>
      </c>
    </row>
    <row r="6" spans="1:24">
      <c r="A6" s="286" t="s">
        <v>5</v>
      </c>
      <c r="B6" s="75">
        <v>7626</v>
      </c>
      <c r="C6" s="287">
        <f>VLOOKUP(A6,$O$6:$T$48,3,FALSE)</f>
        <v>7768</v>
      </c>
      <c r="D6" s="288">
        <f t="shared" si="0"/>
        <v>101.8620508785733</v>
      </c>
      <c r="E6" s="289">
        <f>VLOOKUP(A6,$O$6:$T$47,3,FALSE)-VLOOKUP(A6,$O$53:$T$95,3,FALSE)</f>
        <v>2</v>
      </c>
      <c r="F6" s="290">
        <f>VLOOKUP(A6,$O$6:$T$48,6,FALSE)</f>
        <v>1568</v>
      </c>
      <c r="G6" s="290">
        <f>VLOOKUP(A6,$O$6:$T$48,6,FALSE)</f>
        <v>1568</v>
      </c>
      <c r="H6" s="291">
        <f>VLOOKUP(A6,$O$6:$U$48,7,FALSE)*100</f>
        <v>76.153472559494901</v>
      </c>
      <c r="I6" s="292">
        <f t="shared" si="1"/>
        <v>0</v>
      </c>
      <c r="J6" s="293">
        <f t="shared" si="2"/>
        <v>0</v>
      </c>
      <c r="K6" s="294">
        <f t="shared" si="3"/>
        <v>4</v>
      </c>
      <c r="L6" s="294">
        <f t="shared" si="4"/>
        <v>30</v>
      </c>
      <c r="M6" s="295">
        <f t="shared" si="5"/>
        <v>1</v>
      </c>
      <c r="O6" s="92" t="s">
        <v>25</v>
      </c>
      <c r="P6" s="4">
        <v>10819</v>
      </c>
      <c r="Q6" s="4">
        <v>10353</v>
      </c>
      <c r="R6" s="4">
        <v>3694</v>
      </c>
      <c r="S6" s="4">
        <v>2631</v>
      </c>
      <c r="T6" s="4">
        <v>1829</v>
      </c>
      <c r="U6" s="11">
        <v>0.69517293804637004</v>
      </c>
    </row>
    <row r="7" spans="1:24">
      <c r="A7" s="286" t="s">
        <v>6</v>
      </c>
      <c r="B7" s="75">
        <v>6068</v>
      </c>
      <c r="C7" s="287">
        <f>VLOOKUP(A7,$O$6:$T$48,3,FALSE)</f>
        <v>6122</v>
      </c>
      <c r="D7" s="288">
        <f t="shared" si="0"/>
        <v>100.88991430454845</v>
      </c>
      <c r="E7" s="289">
        <f>VLOOKUP(A7,$O$6:$T$47,3,FALSE)-VLOOKUP(A7,$O$53:$T$95,3,FALSE)</f>
        <v>0</v>
      </c>
      <c r="F7" s="290">
        <f>VLOOKUP(A7,$O$6:$T$48,6,FALSE)</f>
        <v>978</v>
      </c>
      <c r="G7" s="290">
        <f>VLOOKUP(A7,$O$6:$T$48,6,FALSE)</f>
        <v>978</v>
      </c>
      <c r="H7" s="291">
        <f>VLOOKUP(A7,$O$6:$U$48,7,FALSE)*100</f>
        <v>71.49122807017541</v>
      </c>
      <c r="I7" s="292">
        <f t="shared" si="1"/>
        <v>0</v>
      </c>
      <c r="J7" s="293">
        <f t="shared" si="2"/>
        <v>0</v>
      </c>
      <c r="K7" s="294">
        <f t="shared" si="3"/>
        <v>4</v>
      </c>
      <c r="L7" s="294">
        <f t="shared" si="4"/>
        <v>30</v>
      </c>
      <c r="M7" s="295">
        <f t="shared" si="5"/>
        <v>1</v>
      </c>
      <c r="O7" s="93" t="s">
        <v>4</v>
      </c>
      <c r="P7" s="4">
        <v>11113</v>
      </c>
      <c r="Q7" s="4">
        <v>10699</v>
      </c>
      <c r="R7" s="4">
        <v>3560</v>
      </c>
      <c r="S7" s="4">
        <v>2382</v>
      </c>
      <c r="T7" s="4">
        <v>1723</v>
      </c>
      <c r="U7" s="11">
        <v>0.72334172963895904</v>
      </c>
    </row>
    <row r="8" spans="1:24">
      <c r="A8" s="286" t="s">
        <v>7</v>
      </c>
      <c r="B8" s="75">
        <v>17231</v>
      </c>
      <c r="C8" s="287">
        <f>VLOOKUP(A8,$O$31:$X$31,8,FALSE)</f>
        <v>17499</v>
      </c>
      <c r="D8" s="288">
        <f t="shared" si="0"/>
        <v>101.5553363124601</v>
      </c>
      <c r="E8" s="289">
        <f>VLOOKUP(A8,$O$31:$X$31,8,FALSE)-VLOOKUP(A8,$O$78:$X$78,8,FALSE)</f>
        <v>3</v>
      </c>
      <c r="F8" s="290">
        <f>VLOOKUP(A8,$O$31:$X$31,9,FALSE)</f>
        <v>2599</v>
      </c>
      <c r="G8" s="290">
        <f>VLOOKUP(A8,$O$31:$X$31,10,FALSE)</f>
        <v>64.31576342489484</v>
      </c>
      <c r="H8" s="291">
        <f>VLOOKUP(A8,$O$31:$X$31,10,FALSE)</f>
        <v>64.31576342489484</v>
      </c>
      <c r="I8" s="292">
        <f t="shared" si="1"/>
        <v>0</v>
      </c>
      <c r="J8" s="293">
        <f t="shared" si="2"/>
        <v>0</v>
      </c>
      <c r="K8" s="294">
        <f t="shared" si="3"/>
        <v>4</v>
      </c>
      <c r="L8" s="294">
        <f t="shared" si="4"/>
        <v>30</v>
      </c>
      <c r="M8" s="295">
        <f t="shared" si="5"/>
        <v>1</v>
      </c>
      <c r="O8" s="93" t="s">
        <v>8</v>
      </c>
      <c r="P8" s="4">
        <v>11599</v>
      </c>
      <c r="Q8" s="4">
        <v>11107</v>
      </c>
      <c r="R8" s="4">
        <v>3759</v>
      </c>
      <c r="S8" s="4">
        <v>2943</v>
      </c>
      <c r="T8" s="4">
        <v>2000</v>
      </c>
      <c r="U8" s="11">
        <v>0.67957866123003696</v>
      </c>
    </row>
    <row r="9" spans="1:24">
      <c r="A9" s="286" t="s">
        <v>8</v>
      </c>
      <c r="B9" s="75">
        <v>10878</v>
      </c>
      <c r="C9" s="287">
        <f t="shared" ref="C9:C44" si="6">VLOOKUP(A9,$O$6:$T$48,3,FALSE)</f>
        <v>11107</v>
      </c>
      <c r="D9" s="288">
        <f t="shared" si="0"/>
        <v>102.10516639088067</v>
      </c>
      <c r="E9" s="289">
        <f t="shared" ref="E9:E44" si="7">VLOOKUP(A9,$O$6:$T$47,3,FALSE)-VLOOKUP(A9,$O$53:$T$95,3,FALSE)</f>
        <v>0</v>
      </c>
      <c r="F9" s="290">
        <f t="shared" ref="F9:F44" si="8">VLOOKUP(A9,$O$6:$T$48,6,FALSE)</f>
        <v>2000</v>
      </c>
      <c r="G9" s="290">
        <f t="shared" ref="G9:G44" si="9">VLOOKUP(A9,$O$6:$T$48,6,FALSE)</f>
        <v>2000</v>
      </c>
      <c r="H9" s="291">
        <f t="shared" ref="H9:H44" si="10">VLOOKUP(A9,$O$6:$U$48,7,FALSE)*100</f>
        <v>67.957866123003697</v>
      </c>
      <c r="I9" s="292">
        <f t="shared" si="1"/>
        <v>0</v>
      </c>
      <c r="J9" s="293">
        <f t="shared" si="2"/>
        <v>0</v>
      </c>
      <c r="K9" s="294">
        <f t="shared" si="3"/>
        <v>4</v>
      </c>
      <c r="L9" s="294">
        <f t="shared" si="4"/>
        <v>30</v>
      </c>
      <c r="M9" s="295">
        <f t="shared" si="5"/>
        <v>1</v>
      </c>
      <c r="O9" s="93" t="s">
        <v>40</v>
      </c>
      <c r="P9" s="4">
        <v>3954</v>
      </c>
      <c r="Q9" s="4">
        <v>3772</v>
      </c>
      <c r="R9" s="4">
        <v>1160</v>
      </c>
      <c r="S9" s="4">
        <v>777</v>
      </c>
      <c r="T9" s="4">
        <v>549</v>
      </c>
      <c r="U9" s="11">
        <v>0.70656370656370704</v>
      </c>
    </row>
    <row r="10" spans="1:24">
      <c r="A10" s="286" t="s">
        <v>9</v>
      </c>
      <c r="B10" s="75">
        <v>9262</v>
      </c>
      <c r="C10" s="287">
        <f t="shared" si="6"/>
        <v>9265</v>
      </c>
      <c r="D10" s="288">
        <f t="shared" si="0"/>
        <v>100.03239041243792</v>
      </c>
      <c r="E10" s="289">
        <f t="shared" si="7"/>
        <v>3</v>
      </c>
      <c r="F10" s="290">
        <f t="shared" si="8"/>
        <v>1130</v>
      </c>
      <c r="G10" s="290">
        <f t="shared" si="9"/>
        <v>1130</v>
      </c>
      <c r="H10" s="291">
        <f t="shared" si="10"/>
        <v>57.770961145194299</v>
      </c>
      <c r="I10" s="292">
        <f t="shared" si="1"/>
        <v>0</v>
      </c>
      <c r="J10" s="293">
        <f t="shared" si="2"/>
        <v>0</v>
      </c>
      <c r="K10" s="294">
        <f t="shared" si="3"/>
        <v>4</v>
      </c>
      <c r="L10" s="294">
        <f t="shared" si="4"/>
        <v>30</v>
      </c>
      <c r="M10" s="295">
        <f t="shared" si="5"/>
        <v>1</v>
      </c>
      <c r="O10" s="93" t="s">
        <v>37</v>
      </c>
      <c r="P10" s="4">
        <v>4780</v>
      </c>
      <c r="Q10" s="4">
        <v>4580</v>
      </c>
      <c r="R10" s="4">
        <v>1321</v>
      </c>
      <c r="S10" s="4">
        <v>1114</v>
      </c>
      <c r="T10" s="4">
        <v>650</v>
      </c>
      <c r="U10" s="11">
        <v>0.58348294434470405</v>
      </c>
    </row>
    <row r="11" spans="1:24">
      <c r="A11" s="286" t="s">
        <v>10</v>
      </c>
      <c r="B11" s="75">
        <v>10330</v>
      </c>
      <c r="C11" s="287">
        <f t="shared" si="6"/>
        <v>10407</v>
      </c>
      <c r="D11" s="288">
        <f t="shared" si="0"/>
        <v>100.74540174249758</v>
      </c>
      <c r="E11" s="289">
        <f t="shared" si="7"/>
        <v>0</v>
      </c>
      <c r="F11" s="290">
        <f t="shared" si="8"/>
        <v>1303</v>
      </c>
      <c r="G11" s="290">
        <f t="shared" si="9"/>
        <v>1303</v>
      </c>
      <c r="H11" s="291">
        <f t="shared" si="10"/>
        <v>56.382518390307204</v>
      </c>
      <c r="I11" s="292">
        <f t="shared" si="1"/>
        <v>0</v>
      </c>
      <c r="J11" s="293">
        <f t="shared" si="2"/>
        <v>0</v>
      </c>
      <c r="K11" s="294">
        <f t="shared" si="3"/>
        <v>4</v>
      </c>
      <c r="L11" s="294">
        <f t="shared" si="4"/>
        <v>30</v>
      </c>
      <c r="M11" s="295">
        <f t="shared" si="5"/>
        <v>1</v>
      </c>
      <c r="O11" s="93" t="s">
        <v>33</v>
      </c>
      <c r="P11" s="4">
        <v>2750</v>
      </c>
      <c r="Q11" s="4">
        <v>2650</v>
      </c>
      <c r="R11" s="4">
        <v>785</v>
      </c>
      <c r="S11" s="4">
        <v>631</v>
      </c>
      <c r="T11" s="4">
        <v>390</v>
      </c>
      <c r="U11" s="11">
        <v>0.61806656101426305</v>
      </c>
    </row>
    <row r="12" spans="1:24">
      <c r="A12" s="286" t="s">
        <v>11</v>
      </c>
      <c r="B12" s="75">
        <v>9146</v>
      </c>
      <c r="C12" s="287">
        <f t="shared" si="6"/>
        <v>9265</v>
      </c>
      <c r="D12" s="288">
        <f t="shared" si="0"/>
        <v>101.3011152416357</v>
      </c>
      <c r="E12" s="289">
        <f t="shared" si="7"/>
        <v>4</v>
      </c>
      <c r="F12" s="290">
        <f t="shared" si="8"/>
        <v>1395</v>
      </c>
      <c r="G12" s="290">
        <f t="shared" si="9"/>
        <v>1395</v>
      </c>
      <c r="H12" s="291">
        <f t="shared" si="10"/>
        <v>65.278427702386495</v>
      </c>
      <c r="I12" s="292">
        <f t="shared" si="1"/>
        <v>0</v>
      </c>
      <c r="J12" s="293">
        <f t="shared" si="2"/>
        <v>0</v>
      </c>
      <c r="K12" s="294">
        <f t="shared" si="3"/>
        <v>4</v>
      </c>
      <c r="L12" s="294">
        <f t="shared" si="4"/>
        <v>30</v>
      </c>
      <c r="M12" s="295">
        <f t="shared" si="5"/>
        <v>1</v>
      </c>
      <c r="O12" s="93" t="s">
        <v>28</v>
      </c>
      <c r="P12" s="4">
        <v>7048</v>
      </c>
      <c r="Q12" s="4">
        <v>6745</v>
      </c>
      <c r="R12" s="4">
        <v>2158</v>
      </c>
      <c r="S12" s="4">
        <v>1732</v>
      </c>
      <c r="T12" s="4">
        <v>1103</v>
      </c>
      <c r="U12" s="11">
        <v>0.63683602771362602</v>
      </c>
    </row>
    <row r="13" spans="1:24">
      <c r="A13" s="286" t="s">
        <v>12</v>
      </c>
      <c r="B13" s="75">
        <v>3319</v>
      </c>
      <c r="C13" s="287">
        <f t="shared" si="6"/>
        <v>3384</v>
      </c>
      <c r="D13" s="288">
        <f t="shared" si="0"/>
        <v>101.9584212112082</v>
      </c>
      <c r="E13" s="289">
        <f t="shared" si="7"/>
        <v>1</v>
      </c>
      <c r="F13" s="290">
        <f t="shared" si="8"/>
        <v>636</v>
      </c>
      <c r="G13" s="290">
        <f t="shared" si="9"/>
        <v>636</v>
      </c>
      <c r="H13" s="291">
        <f t="shared" si="10"/>
        <v>58.725761772853204</v>
      </c>
      <c r="I13" s="292">
        <f t="shared" si="1"/>
        <v>0</v>
      </c>
      <c r="J13" s="293">
        <f t="shared" si="2"/>
        <v>0</v>
      </c>
      <c r="K13" s="294">
        <f t="shared" si="3"/>
        <v>4</v>
      </c>
      <c r="L13" s="294">
        <f t="shared" si="4"/>
        <v>30</v>
      </c>
      <c r="M13" s="295">
        <f t="shared" si="5"/>
        <v>1</v>
      </c>
      <c r="O13" s="93" t="s">
        <v>31</v>
      </c>
      <c r="P13" s="4">
        <v>2731</v>
      </c>
      <c r="Q13" s="4">
        <v>2653</v>
      </c>
      <c r="R13" s="4">
        <v>619</v>
      </c>
      <c r="S13" s="4">
        <v>534</v>
      </c>
      <c r="T13" s="4">
        <v>283</v>
      </c>
      <c r="U13" s="11">
        <v>0.52996254681647903</v>
      </c>
    </row>
    <row r="14" spans="1:24">
      <c r="A14" s="286" t="s">
        <v>13</v>
      </c>
      <c r="B14" s="75">
        <v>6589</v>
      </c>
      <c r="C14" s="287">
        <f t="shared" si="6"/>
        <v>6704</v>
      </c>
      <c r="D14" s="288">
        <f t="shared" si="0"/>
        <v>101.74533313097587</v>
      </c>
      <c r="E14" s="289">
        <f t="shared" si="7"/>
        <v>1</v>
      </c>
      <c r="F14" s="290">
        <f t="shared" si="8"/>
        <v>1012</v>
      </c>
      <c r="G14" s="290">
        <f t="shared" si="9"/>
        <v>1012</v>
      </c>
      <c r="H14" s="291">
        <f t="shared" si="10"/>
        <v>67.7376171352075</v>
      </c>
      <c r="I14" s="292">
        <f t="shared" si="1"/>
        <v>0</v>
      </c>
      <c r="J14" s="293">
        <f t="shared" si="2"/>
        <v>0</v>
      </c>
      <c r="K14" s="294">
        <f t="shared" si="3"/>
        <v>4</v>
      </c>
      <c r="L14" s="294">
        <f t="shared" si="4"/>
        <v>30</v>
      </c>
      <c r="M14" s="295">
        <f t="shared" si="5"/>
        <v>1</v>
      </c>
      <c r="O14" s="93" t="s">
        <v>32</v>
      </c>
      <c r="P14" s="4">
        <v>3720</v>
      </c>
      <c r="Q14" s="4">
        <v>3565</v>
      </c>
      <c r="R14" s="4">
        <v>1013</v>
      </c>
      <c r="S14" s="4">
        <v>865</v>
      </c>
      <c r="T14" s="4">
        <v>494</v>
      </c>
      <c r="U14" s="11">
        <v>0.57109826589595403</v>
      </c>
    </row>
    <row r="15" spans="1:24">
      <c r="A15" s="286" t="s">
        <v>14</v>
      </c>
      <c r="B15" s="75">
        <v>9960</v>
      </c>
      <c r="C15" s="287">
        <f t="shared" si="6"/>
        <v>10152</v>
      </c>
      <c r="D15" s="288">
        <f t="shared" si="0"/>
        <v>101.9277108433735</v>
      </c>
      <c r="E15" s="289">
        <f t="shared" si="7"/>
        <v>3</v>
      </c>
      <c r="F15" s="290">
        <f t="shared" si="8"/>
        <v>1574</v>
      </c>
      <c r="G15" s="290">
        <f t="shared" si="9"/>
        <v>1574</v>
      </c>
      <c r="H15" s="291">
        <f t="shared" si="10"/>
        <v>66.162253047498993</v>
      </c>
      <c r="I15" s="292">
        <f t="shared" si="1"/>
        <v>0</v>
      </c>
      <c r="J15" s="293">
        <f t="shared" si="2"/>
        <v>0</v>
      </c>
      <c r="K15" s="294">
        <f t="shared" si="3"/>
        <v>4</v>
      </c>
      <c r="L15" s="294">
        <f t="shared" si="4"/>
        <v>30</v>
      </c>
      <c r="M15" s="295">
        <f t="shared" si="5"/>
        <v>1</v>
      </c>
      <c r="O15" s="93" t="s">
        <v>34</v>
      </c>
      <c r="P15" s="4">
        <v>4309</v>
      </c>
      <c r="Q15" s="4">
        <v>4149</v>
      </c>
      <c r="R15" s="4">
        <v>1372</v>
      </c>
      <c r="S15" s="4">
        <v>984</v>
      </c>
      <c r="T15" s="4">
        <v>670</v>
      </c>
      <c r="U15" s="11">
        <v>0.680894308943089</v>
      </c>
    </row>
    <row r="16" spans="1:24">
      <c r="A16" s="286" t="s">
        <v>15</v>
      </c>
      <c r="B16" s="75">
        <v>10603</v>
      </c>
      <c r="C16" s="287">
        <f t="shared" si="6"/>
        <v>10717</v>
      </c>
      <c r="D16" s="288">
        <f t="shared" si="0"/>
        <v>101.07516740545128</v>
      </c>
      <c r="E16" s="289">
        <f t="shared" si="7"/>
        <v>0</v>
      </c>
      <c r="F16" s="290">
        <f t="shared" si="8"/>
        <v>1453</v>
      </c>
      <c r="G16" s="290">
        <f t="shared" si="9"/>
        <v>1453</v>
      </c>
      <c r="H16" s="291">
        <f t="shared" si="10"/>
        <v>61.308016877637094</v>
      </c>
      <c r="I16" s="292">
        <f t="shared" si="1"/>
        <v>0</v>
      </c>
      <c r="J16" s="293">
        <f t="shared" si="2"/>
        <v>0</v>
      </c>
      <c r="K16" s="294">
        <f t="shared" si="3"/>
        <v>4</v>
      </c>
      <c r="L16" s="294">
        <f t="shared" si="4"/>
        <v>30</v>
      </c>
      <c r="M16" s="295">
        <f t="shared" si="5"/>
        <v>1</v>
      </c>
      <c r="O16" s="93" t="s">
        <v>36</v>
      </c>
      <c r="P16" s="4">
        <v>3271</v>
      </c>
      <c r="Q16" s="4">
        <v>3148</v>
      </c>
      <c r="R16" s="4">
        <v>870</v>
      </c>
      <c r="S16" s="4">
        <v>762</v>
      </c>
      <c r="T16" s="4">
        <v>406</v>
      </c>
      <c r="U16" s="11">
        <v>0.53280839895013099</v>
      </c>
    </row>
    <row r="17" spans="1:24">
      <c r="A17" s="286" t="s">
        <v>16</v>
      </c>
      <c r="B17" s="75">
        <v>7629</v>
      </c>
      <c r="C17" s="287">
        <f t="shared" si="6"/>
        <v>7710</v>
      </c>
      <c r="D17" s="288">
        <f t="shared" si="0"/>
        <v>101.06173810460086</v>
      </c>
      <c r="E17" s="289">
        <f t="shared" si="7"/>
        <v>3</v>
      </c>
      <c r="F17" s="290">
        <f t="shared" si="8"/>
        <v>1339</v>
      </c>
      <c r="G17" s="290">
        <f t="shared" si="9"/>
        <v>1339</v>
      </c>
      <c r="H17" s="291">
        <f t="shared" si="10"/>
        <v>68.038617886178898</v>
      </c>
      <c r="I17" s="292">
        <f t="shared" si="1"/>
        <v>0</v>
      </c>
      <c r="J17" s="293">
        <f t="shared" si="2"/>
        <v>0</v>
      </c>
      <c r="K17" s="294">
        <f t="shared" si="3"/>
        <v>4</v>
      </c>
      <c r="L17" s="294">
        <f t="shared" si="4"/>
        <v>30</v>
      </c>
      <c r="M17" s="295">
        <f t="shared" si="5"/>
        <v>1</v>
      </c>
      <c r="O17" s="93" t="s">
        <v>29</v>
      </c>
      <c r="P17" s="4">
        <v>5836</v>
      </c>
      <c r="Q17" s="4">
        <v>5640</v>
      </c>
      <c r="R17" s="4">
        <v>1842</v>
      </c>
      <c r="S17" s="4">
        <v>1390</v>
      </c>
      <c r="T17" s="4">
        <v>873</v>
      </c>
      <c r="U17" s="11">
        <v>0.62805755395683405</v>
      </c>
    </row>
    <row r="18" spans="1:24">
      <c r="A18" s="286" t="s">
        <v>17</v>
      </c>
      <c r="B18" s="75">
        <v>15679</v>
      </c>
      <c r="C18" s="287">
        <f t="shared" si="6"/>
        <v>16087</v>
      </c>
      <c r="D18" s="288">
        <f t="shared" si="0"/>
        <v>102.60220677339116</v>
      </c>
      <c r="E18" s="289">
        <f t="shared" si="7"/>
        <v>4</v>
      </c>
      <c r="F18" s="290">
        <f t="shared" si="8"/>
        <v>2428</v>
      </c>
      <c r="G18" s="290">
        <f t="shared" si="9"/>
        <v>2428</v>
      </c>
      <c r="H18" s="291">
        <f t="shared" si="10"/>
        <v>64.93714897031289</v>
      </c>
      <c r="I18" s="292">
        <f t="shared" si="1"/>
        <v>0</v>
      </c>
      <c r="J18" s="293">
        <f t="shared" si="2"/>
        <v>0</v>
      </c>
      <c r="K18" s="294">
        <f t="shared" si="3"/>
        <v>4</v>
      </c>
      <c r="L18" s="294">
        <f t="shared" si="4"/>
        <v>30</v>
      </c>
      <c r="M18" s="295">
        <f t="shared" si="5"/>
        <v>1</v>
      </c>
      <c r="O18" s="93" t="s">
        <v>30</v>
      </c>
      <c r="P18" s="4">
        <v>4659</v>
      </c>
      <c r="Q18" s="4">
        <v>4487</v>
      </c>
      <c r="R18" s="4">
        <v>1349</v>
      </c>
      <c r="S18" s="4">
        <v>1006</v>
      </c>
      <c r="T18" s="4">
        <v>606</v>
      </c>
      <c r="U18" s="11">
        <v>0.60238568588469199</v>
      </c>
    </row>
    <row r="19" spans="1:24">
      <c r="A19" s="286" t="s">
        <v>18</v>
      </c>
      <c r="B19" s="75">
        <v>14498</v>
      </c>
      <c r="C19" s="287">
        <f t="shared" si="6"/>
        <v>14580</v>
      </c>
      <c r="D19" s="288">
        <f t="shared" si="0"/>
        <v>100.56559525451787</v>
      </c>
      <c r="E19" s="289">
        <f t="shared" si="7"/>
        <v>4</v>
      </c>
      <c r="F19" s="290">
        <f t="shared" si="8"/>
        <v>2165</v>
      </c>
      <c r="G19" s="290">
        <f t="shared" si="9"/>
        <v>2165</v>
      </c>
      <c r="H19" s="291">
        <f t="shared" si="10"/>
        <v>69.081046585832794</v>
      </c>
      <c r="I19" s="292">
        <f t="shared" si="1"/>
        <v>0</v>
      </c>
      <c r="J19" s="293">
        <f t="shared" si="2"/>
        <v>0</v>
      </c>
      <c r="K19" s="294">
        <f t="shared" si="3"/>
        <v>4</v>
      </c>
      <c r="L19" s="294">
        <f t="shared" si="4"/>
        <v>30</v>
      </c>
      <c r="M19" s="295">
        <f t="shared" si="5"/>
        <v>1</v>
      </c>
      <c r="O19" s="93" t="s">
        <v>35</v>
      </c>
      <c r="P19" s="4">
        <v>4013</v>
      </c>
      <c r="Q19" s="4">
        <v>3871</v>
      </c>
      <c r="R19" s="4">
        <v>1027</v>
      </c>
      <c r="S19" s="4">
        <v>782</v>
      </c>
      <c r="T19" s="4">
        <v>443</v>
      </c>
      <c r="U19" s="11">
        <v>0.56649616368286404</v>
      </c>
    </row>
    <row r="20" spans="1:24">
      <c r="A20" s="286" t="s">
        <v>19</v>
      </c>
      <c r="B20" s="75">
        <v>8647</v>
      </c>
      <c r="C20" s="287">
        <f t="shared" si="6"/>
        <v>8810</v>
      </c>
      <c r="D20" s="288">
        <f t="shared" si="0"/>
        <v>101.88504683705331</v>
      </c>
      <c r="E20" s="289">
        <f t="shared" si="7"/>
        <v>1</v>
      </c>
      <c r="F20" s="290">
        <f t="shared" si="8"/>
        <v>1276</v>
      </c>
      <c r="G20" s="290">
        <f t="shared" si="9"/>
        <v>1276</v>
      </c>
      <c r="H20" s="291">
        <f t="shared" si="10"/>
        <v>65.841073271413791</v>
      </c>
      <c r="I20" s="292">
        <f t="shared" si="1"/>
        <v>0</v>
      </c>
      <c r="J20" s="293">
        <f t="shared" si="2"/>
        <v>0</v>
      </c>
      <c r="K20" s="294">
        <f t="shared" si="3"/>
        <v>4</v>
      </c>
      <c r="L20" s="294">
        <f t="shared" si="4"/>
        <v>30</v>
      </c>
      <c r="M20" s="295">
        <f t="shared" si="5"/>
        <v>1</v>
      </c>
      <c r="O20" s="93" t="s">
        <v>9</v>
      </c>
      <c r="P20" s="4">
        <v>9623</v>
      </c>
      <c r="Q20" s="4">
        <v>9265</v>
      </c>
      <c r="R20" s="4">
        <v>2726</v>
      </c>
      <c r="S20" s="4">
        <v>1956</v>
      </c>
      <c r="T20" s="4">
        <v>1130</v>
      </c>
      <c r="U20" s="11">
        <v>0.57770961145194299</v>
      </c>
    </row>
    <row r="21" spans="1:24">
      <c r="A21" s="286" t="s">
        <v>20</v>
      </c>
      <c r="B21" s="75">
        <v>6985</v>
      </c>
      <c r="C21" s="287">
        <f t="shared" si="6"/>
        <v>7073</v>
      </c>
      <c r="D21" s="288">
        <f t="shared" si="0"/>
        <v>101.25984251968505</v>
      </c>
      <c r="E21" s="289">
        <f t="shared" si="7"/>
        <v>4</v>
      </c>
      <c r="F21" s="290">
        <f t="shared" si="8"/>
        <v>1039</v>
      </c>
      <c r="G21" s="290">
        <f t="shared" si="9"/>
        <v>1039</v>
      </c>
      <c r="H21" s="291">
        <f t="shared" si="10"/>
        <v>66.559897501601498</v>
      </c>
      <c r="I21" s="292">
        <f t="shared" si="1"/>
        <v>0</v>
      </c>
      <c r="J21" s="293">
        <f t="shared" si="2"/>
        <v>0</v>
      </c>
      <c r="K21" s="294">
        <f t="shared" si="3"/>
        <v>4</v>
      </c>
      <c r="L21" s="294">
        <f t="shared" si="4"/>
        <v>30</v>
      </c>
      <c r="M21" s="295">
        <f t="shared" si="5"/>
        <v>1</v>
      </c>
      <c r="O21" s="93" t="s">
        <v>26</v>
      </c>
      <c r="P21" s="4">
        <v>9300</v>
      </c>
      <c r="Q21" s="4">
        <v>8912</v>
      </c>
      <c r="R21" s="4">
        <v>2151</v>
      </c>
      <c r="S21" s="4">
        <v>1859</v>
      </c>
      <c r="T21" s="4">
        <v>1092</v>
      </c>
      <c r="U21" s="11">
        <v>0.58741258741258695</v>
      </c>
    </row>
    <row r="22" spans="1:24">
      <c r="A22" s="286" t="s">
        <v>21</v>
      </c>
      <c r="B22" s="75">
        <v>8275</v>
      </c>
      <c r="C22" s="287">
        <f t="shared" si="6"/>
        <v>8363</v>
      </c>
      <c r="D22" s="288">
        <f t="shared" si="0"/>
        <v>101.06344410876133</v>
      </c>
      <c r="E22" s="289">
        <f t="shared" si="7"/>
        <v>1</v>
      </c>
      <c r="F22" s="290">
        <f t="shared" si="8"/>
        <v>1242</v>
      </c>
      <c r="G22" s="290">
        <f t="shared" si="9"/>
        <v>1242</v>
      </c>
      <c r="H22" s="291">
        <f t="shared" si="10"/>
        <v>68.847006651884698</v>
      </c>
      <c r="I22" s="292">
        <f t="shared" si="1"/>
        <v>0</v>
      </c>
      <c r="J22" s="293">
        <f t="shared" si="2"/>
        <v>0</v>
      </c>
      <c r="K22" s="294">
        <f t="shared" si="3"/>
        <v>4</v>
      </c>
      <c r="L22" s="294">
        <f t="shared" si="4"/>
        <v>30</v>
      </c>
      <c r="M22" s="295">
        <f t="shared" si="5"/>
        <v>1</v>
      </c>
      <c r="O22" s="93" t="s">
        <v>38</v>
      </c>
      <c r="P22" s="4">
        <v>3323</v>
      </c>
      <c r="Q22" s="4">
        <v>3175</v>
      </c>
      <c r="R22" s="4">
        <v>1003</v>
      </c>
      <c r="S22" s="4">
        <v>643</v>
      </c>
      <c r="T22" s="4">
        <v>447</v>
      </c>
      <c r="U22" s="11">
        <v>0.69517884914463501</v>
      </c>
    </row>
    <row r="23" spans="1:24">
      <c r="A23" s="286" t="s">
        <v>22</v>
      </c>
      <c r="B23" s="75">
        <v>6595</v>
      </c>
      <c r="C23" s="287">
        <f t="shared" si="6"/>
        <v>6682</v>
      </c>
      <c r="D23" s="288">
        <f t="shared" si="0"/>
        <v>101.31918119787717</v>
      </c>
      <c r="E23" s="289">
        <f t="shared" si="7"/>
        <v>-1</v>
      </c>
      <c r="F23" s="290">
        <f t="shared" si="8"/>
        <v>860</v>
      </c>
      <c r="G23" s="290">
        <f t="shared" si="9"/>
        <v>860</v>
      </c>
      <c r="H23" s="291">
        <f t="shared" si="10"/>
        <v>54.881940012763195</v>
      </c>
      <c r="I23" s="292">
        <f t="shared" si="1"/>
        <v>0</v>
      </c>
      <c r="J23" s="293">
        <f t="shared" si="2"/>
        <v>0</v>
      </c>
      <c r="K23" s="294">
        <f t="shared" si="3"/>
        <v>4</v>
      </c>
      <c r="L23" s="294">
        <f t="shared" si="4"/>
        <v>30</v>
      </c>
      <c r="M23" s="295">
        <f t="shared" si="5"/>
        <v>1</v>
      </c>
      <c r="O23" s="93" t="s">
        <v>10</v>
      </c>
      <c r="P23" s="4">
        <v>10901</v>
      </c>
      <c r="Q23" s="4">
        <v>10407</v>
      </c>
      <c r="R23" s="4">
        <v>2700</v>
      </c>
      <c r="S23" s="4">
        <v>2311</v>
      </c>
      <c r="T23" s="4">
        <v>1303</v>
      </c>
      <c r="U23" s="11">
        <v>0.56382518390307201</v>
      </c>
    </row>
    <row r="24" spans="1:24">
      <c r="A24" s="286" t="s">
        <v>23</v>
      </c>
      <c r="B24" s="75">
        <v>7267</v>
      </c>
      <c r="C24" s="287">
        <f t="shared" si="6"/>
        <v>7364</v>
      </c>
      <c r="D24" s="288">
        <f t="shared" si="0"/>
        <v>101.33480115591027</v>
      </c>
      <c r="E24" s="289">
        <f t="shared" si="7"/>
        <v>4</v>
      </c>
      <c r="F24" s="290">
        <f t="shared" si="8"/>
        <v>1033</v>
      </c>
      <c r="G24" s="290">
        <f t="shared" si="9"/>
        <v>1033</v>
      </c>
      <c r="H24" s="291">
        <f t="shared" si="10"/>
        <v>61.930455635491597</v>
      </c>
      <c r="I24" s="292">
        <f t="shared" si="1"/>
        <v>0</v>
      </c>
      <c r="J24" s="293">
        <f t="shared" si="2"/>
        <v>0</v>
      </c>
      <c r="K24" s="294">
        <f t="shared" si="3"/>
        <v>4</v>
      </c>
      <c r="L24" s="294">
        <f t="shared" si="4"/>
        <v>30</v>
      </c>
      <c r="M24" s="295">
        <f t="shared" si="5"/>
        <v>1</v>
      </c>
      <c r="O24" s="93" t="s">
        <v>42</v>
      </c>
      <c r="P24" s="4">
        <v>2846</v>
      </c>
      <c r="Q24" s="4">
        <v>2728</v>
      </c>
      <c r="R24" s="4">
        <v>850</v>
      </c>
      <c r="S24" s="4">
        <v>588</v>
      </c>
      <c r="T24" s="4">
        <v>374</v>
      </c>
      <c r="U24" s="11">
        <v>0.63605442176870797</v>
      </c>
    </row>
    <row r="25" spans="1:24">
      <c r="A25" s="286" t="s">
        <v>26</v>
      </c>
      <c r="B25" s="75">
        <v>8763</v>
      </c>
      <c r="C25" s="287">
        <f t="shared" si="6"/>
        <v>8912</v>
      </c>
      <c r="D25" s="288">
        <f t="shared" si="0"/>
        <v>101.70033093689376</v>
      </c>
      <c r="E25" s="289">
        <f t="shared" si="7"/>
        <v>0</v>
      </c>
      <c r="F25" s="290">
        <f t="shared" si="8"/>
        <v>1092</v>
      </c>
      <c r="G25" s="290">
        <f t="shared" si="9"/>
        <v>1092</v>
      </c>
      <c r="H25" s="291">
        <f t="shared" si="10"/>
        <v>58.741258741258697</v>
      </c>
      <c r="I25" s="292">
        <f t="shared" si="1"/>
        <v>0</v>
      </c>
      <c r="J25" s="293">
        <f t="shared" si="2"/>
        <v>0</v>
      </c>
      <c r="K25" s="294">
        <f t="shared" si="3"/>
        <v>4</v>
      </c>
      <c r="L25" s="294">
        <f t="shared" si="4"/>
        <v>30</v>
      </c>
      <c r="M25" s="295">
        <f t="shared" si="5"/>
        <v>1</v>
      </c>
      <c r="O25" s="93" t="s">
        <v>39</v>
      </c>
      <c r="P25" s="4">
        <v>1945</v>
      </c>
      <c r="Q25" s="4">
        <v>1873</v>
      </c>
      <c r="R25" s="4">
        <v>587</v>
      </c>
      <c r="S25" s="4">
        <v>476</v>
      </c>
      <c r="T25" s="4">
        <v>286</v>
      </c>
      <c r="U25" s="11">
        <v>0.60084033613445398</v>
      </c>
    </row>
    <row r="26" spans="1:24">
      <c r="A26" s="286" t="s">
        <v>24</v>
      </c>
      <c r="B26" s="75">
        <v>6419</v>
      </c>
      <c r="C26" s="287">
        <f t="shared" si="6"/>
        <v>6700</v>
      </c>
      <c r="D26" s="288">
        <f t="shared" si="0"/>
        <v>104.37762891416109</v>
      </c>
      <c r="E26" s="289">
        <f t="shared" si="7"/>
        <v>0</v>
      </c>
      <c r="F26" s="290">
        <f t="shared" si="8"/>
        <v>942</v>
      </c>
      <c r="G26" s="290">
        <f t="shared" si="9"/>
        <v>942</v>
      </c>
      <c r="H26" s="291">
        <f t="shared" si="10"/>
        <v>58.328173374613002</v>
      </c>
      <c r="I26" s="292">
        <f t="shared" si="1"/>
        <v>0</v>
      </c>
      <c r="J26" s="293">
        <f t="shared" si="2"/>
        <v>0</v>
      </c>
      <c r="K26" s="294">
        <f t="shared" si="3"/>
        <v>4</v>
      </c>
      <c r="L26" s="294">
        <f t="shared" si="4"/>
        <v>30</v>
      </c>
      <c r="M26" s="295">
        <f t="shared" si="5"/>
        <v>1</v>
      </c>
      <c r="O26" s="93" t="s">
        <v>41</v>
      </c>
      <c r="P26" s="4">
        <v>1092</v>
      </c>
      <c r="Q26" s="4">
        <v>1058</v>
      </c>
      <c r="R26" s="4">
        <v>461</v>
      </c>
      <c r="S26" s="4">
        <v>260</v>
      </c>
      <c r="T26" s="4">
        <v>170</v>
      </c>
      <c r="U26" s="11">
        <v>0.65384615384615397</v>
      </c>
    </row>
    <row r="27" spans="1:24">
      <c r="A27" s="286" t="s">
        <v>25</v>
      </c>
      <c r="B27" s="75">
        <v>10119</v>
      </c>
      <c r="C27" s="287">
        <f t="shared" si="6"/>
        <v>10353</v>
      </c>
      <c r="D27" s="288">
        <f t="shared" si="0"/>
        <v>102.31248147050104</v>
      </c>
      <c r="E27" s="289">
        <f t="shared" si="7"/>
        <v>5</v>
      </c>
      <c r="F27" s="290">
        <f t="shared" si="8"/>
        <v>1829</v>
      </c>
      <c r="G27" s="290">
        <f t="shared" si="9"/>
        <v>1829</v>
      </c>
      <c r="H27" s="291">
        <f t="shared" si="10"/>
        <v>69.517293804637006</v>
      </c>
      <c r="I27" s="292">
        <f t="shared" si="1"/>
        <v>0</v>
      </c>
      <c r="J27" s="293">
        <f t="shared" si="2"/>
        <v>0</v>
      </c>
      <c r="K27" s="294">
        <f t="shared" si="3"/>
        <v>4</v>
      </c>
      <c r="L27" s="294">
        <f t="shared" si="4"/>
        <v>30</v>
      </c>
      <c r="M27" s="295">
        <f t="shared" si="5"/>
        <v>1</v>
      </c>
      <c r="O27" s="93" t="s">
        <v>21</v>
      </c>
      <c r="P27" s="4">
        <v>8750</v>
      </c>
      <c r="Q27" s="4">
        <v>8363</v>
      </c>
      <c r="R27" s="4">
        <v>2880</v>
      </c>
      <c r="S27" s="4">
        <v>1804</v>
      </c>
      <c r="T27" s="4">
        <v>1242</v>
      </c>
      <c r="U27" s="11">
        <v>0.68847006651884701</v>
      </c>
    </row>
    <row r="28" spans="1:24">
      <c r="A28" s="286" t="s">
        <v>27</v>
      </c>
      <c r="B28" s="75">
        <v>8313</v>
      </c>
      <c r="C28" s="287">
        <f t="shared" si="6"/>
        <v>8465</v>
      </c>
      <c r="D28" s="288">
        <f t="shared" si="0"/>
        <v>101.82846144592807</v>
      </c>
      <c r="E28" s="289">
        <f t="shared" si="7"/>
        <v>2</v>
      </c>
      <c r="F28" s="290">
        <f t="shared" si="8"/>
        <v>1409</v>
      </c>
      <c r="G28" s="290">
        <f t="shared" si="9"/>
        <v>1409</v>
      </c>
      <c r="H28" s="291">
        <f t="shared" si="10"/>
        <v>65.687645687645698</v>
      </c>
      <c r="I28" s="292">
        <f t="shared" si="1"/>
        <v>0</v>
      </c>
      <c r="J28" s="293">
        <f t="shared" si="2"/>
        <v>0</v>
      </c>
      <c r="K28" s="294">
        <f t="shared" si="3"/>
        <v>4</v>
      </c>
      <c r="L28" s="294">
        <f t="shared" si="4"/>
        <v>30</v>
      </c>
      <c r="M28" s="295">
        <f t="shared" si="5"/>
        <v>1</v>
      </c>
      <c r="O28" s="93" t="s">
        <v>43</v>
      </c>
      <c r="P28" s="4">
        <v>4799</v>
      </c>
      <c r="Q28" s="4">
        <v>4566</v>
      </c>
      <c r="R28" s="4">
        <v>1292</v>
      </c>
      <c r="S28" s="4">
        <v>1126</v>
      </c>
      <c r="T28" s="4">
        <v>682</v>
      </c>
      <c r="U28" s="11">
        <v>0.60568383658969804</v>
      </c>
    </row>
    <row r="29" spans="1:24">
      <c r="A29" s="286" t="s">
        <v>28</v>
      </c>
      <c r="B29" s="75">
        <v>6592</v>
      </c>
      <c r="C29" s="287">
        <f t="shared" si="6"/>
        <v>6745</v>
      </c>
      <c r="D29" s="288">
        <f t="shared" si="0"/>
        <v>102.32099514563106</v>
      </c>
      <c r="E29" s="289">
        <f t="shared" si="7"/>
        <v>5</v>
      </c>
      <c r="F29" s="290">
        <f t="shared" si="8"/>
        <v>1103</v>
      </c>
      <c r="G29" s="290">
        <f t="shared" si="9"/>
        <v>1103</v>
      </c>
      <c r="H29" s="291">
        <f t="shared" si="10"/>
        <v>63.683602771362601</v>
      </c>
      <c r="I29" s="292">
        <f t="shared" si="1"/>
        <v>0</v>
      </c>
      <c r="J29" s="293">
        <f t="shared" si="2"/>
        <v>0</v>
      </c>
      <c r="K29" s="294">
        <f t="shared" si="3"/>
        <v>4</v>
      </c>
      <c r="L29" s="294">
        <f t="shared" si="4"/>
        <v>30</v>
      </c>
      <c r="M29" s="295">
        <f t="shared" si="5"/>
        <v>1</v>
      </c>
      <c r="O29" s="93" t="s">
        <v>15</v>
      </c>
      <c r="P29" s="4">
        <v>11252</v>
      </c>
      <c r="Q29" s="4">
        <v>10717</v>
      </c>
      <c r="R29" s="4">
        <v>3193</v>
      </c>
      <c r="S29" s="4">
        <v>2370</v>
      </c>
      <c r="T29" s="4">
        <v>1453</v>
      </c>
      <c r="U29" s="11">
        <v>0.61308016877637095</v>
      </c>
      <c r="X29" s="9">
        <f>S31+S35</f>
        <v>4041</v>
      </c>
    </row>
    <row r="30" spans="1:24">
      <c r="A30" s="286" t="s">
        <v>29</v>
      </c>
      <c r="B30" s="75">
        <v>5494</v>
      </c>
      <c r="C30" s="287">
        <f t="shared" si="6"/>
        <v>5640</v>
      </c>
      <c r="D30" s="288">
        <f t="shared" si="0"/>
        <v>102.65744448489261</v>
      </c>
      <c r="E30" s="289">
        <f t="shared" si="7"/>
        <v>1</v>
      </c>
      <c r="F30" s="290">
        <f t="shared" si="8"/>
        <v>873</v>
      </c>
      <c r="G30" s="290">
        <f t="shared" si="9"/>
        <v>873</v>
      </c>
      <c r="H30" s="291">
        <f t="shared" si="10"/>
        <v>62.805755395683406</v>
      </c>
      <c r="I30" s="292">
        <f t="shared" si="1"/>
        <v>0</v>
      </c>
      <c r="J30" s="293">
        <f t="shared" si="2"/>
        <v>0</v>
      </c>
      <c r="K30" s="294">
        <f t="shared" si="3"/>
        <v>4</v>
      </c>
      <c r="L30" s="294">
        <f t="shared" si="4"/>
        <v>30</v>
      </c>
      <c r="M30" s="295">
        <f t="shared" si="5"/>
        <v>1</v>
      </c>
      <c r="O30" s="93" t="s">
        <v>22</v>
      </c>
      <c r="P30" s="4">
        <v>7017</v>
      </c>
      <c r="Q30" s="4">
        <v>6682</v>
      </c>
      <c r="R30" s="4">
        <v>1669</v>
      </c>
      <c r="S30" s="4">
        <v>1567</v>
      </c>
      <c r="T30" s="4">
        <v>860</v>
      </c>
      <c r="U30" s="11">
        <v>0.54881940012763197</v>
      </c>
      <c r="V30" s="44" t="s">
        <v>170</v>
      </c>
      <c r="W30" s="44" t="s">
        <v>163</v>
      </c>
      <c r="X30" s="44" t="s">
        <v>171</v>
      </c>
    </row>
    <row r="31" spans="1:24">
      <c r="A31" s="286" t="s">
        <v>35</v>
      </c>
      <c r="B31" s="75">
        <v>3779</v>
      </c>
      <c r="C31" s="287">
        <f t="shared" si="6"/>
        <v>3871</v>
      </c>
      <c r="D31" s="288">
        <f t="shared" si="0"/>
        <v>102.43450648319661</v>
      </c>
      <c r="E31" s="289">
        <f t="shared" si="7"/>
        <v>0</v>
      </c>
      <c r="F31" s="290">
        <f t="shared" si="8"/>
        <v>443</v>
      </c>
      <c r="G31" s="290">
        <f t="shared" si="9"/>
        <v>443</v>
      </c>
      <c r="H31" s="291">
        <f t="shared" si="10"/>
        <v>56.649616368286402</v>
      </c>
      <c r="I31" s="292">
        <f t="shared" si="1"/>
        <v>0</v>
      </c>
      <c r="J31" s="293">
        <f t="shared" si="2"/>
        <v>0</v>
      </c>
      <c r="K31" s="294">
        <f t="shared" si="3"/>
        <v>4</v>
      </c>
      <c r="L31" s="294">
        <f t="shared" si="4"/>
        <v>30</v>
      </c>
      <c r="M31" s="295">
        <f t="shared" si="5"/>
        <v>1</v>
      </c>
      <c r="O31" s="134" t="s">
        <v>7</v>
      </c>
      <c r="P31" s="4">
        <v>11204</v>
      </c>
      <c r="Q31" s="4">
        <v>10750</v>
      </c>
      <c r="R31" s="4">
        <v>2835</v>
      </c>
      <c r="S31" s="4">
        <v>2087</v>
      </c>
      <c r="T31" s="4">
        <v>1315</v>
      </c>
      <c r="U31" s="11">
        <v>0.63009103977000502</v>
      </c>
      <c r="V31" s="9">
        <f>Q31+Q35</f>
        <v>17499</v>
      </c>
      <c r="W31" s="9">
        <f>T31+T35</f>
        <v>2599</v>
      </c>
      <c r="X31" s="296">
        <f>W31/X29%</f>
        <v>64.31576342489484</v>
      </c>
    </row>
    <row r="32" spans="1:24">
      <c r="A32" s="286" t="s">
        <v>37</v>
      </c>
      <c r="B32" s="75">
        <v>4429</v>
      </c>
      <c r="C32" s="287">
        <f t="shared" si="6"/>
        <v>4580</v>
      </c>
      <c r="D32" s="288">
        <f t="shared" si="0"/>
        <v>103.4093474825017</v>
      </c>
      <c r="E32" s="289">
        <f t="shared" si="7"/>
        <v>0</v>
      </c>
      <c r="F32" s="290">
        <f t="shared" si="8"/>
        <v>650</v>
      </c>
      <c r="G32" s="290">
        <f t="shared" si="9"/>
        <v>650</v>
      </c>
      <c r="H32" s="291">
        <f t="shared" si="10"/>
        <v>58.348294434470404</v>
      </c>
      <c r="I32" s="292">
        <f t="shared" si="1"/>
        <v>0</v>
      </c>
      <c r="J32" s="293">
        <f t="shared" si="2"/>
        <v>0</v>
      </c>
      <c r="K32" s="294">
        <f t="shared" si="3"/>
        <v>4</v>
      </c>
      <c r="L32" s="294">
        <f t="shared" si="4"/>
        <v>30</v>
      </c>
      <c r="M32" s="295">
        <f t="shared" si="5"/>
        <v>1</v>
      </c>
      <c r="O32" s="93" t="s">
        <v>18</v>
      </c>
      <c r="P32" s="4">
        <v>15231</v>
      </c>
      <c r="Q32" s="4">
        <v>14580</v>
      </c>
      <c r="R32" s="4">
        <v>4567</v>
      </c>
      <c r="S32" s="4">
        <v>3134</v>
      </c>
      <c r="T32" s="4">
        <v>2165</v>
      </c>
      <c r="U32" s="11">
        <v>0.69081046585832795</v>
      </c>
    </row>
    <row r="33" spans="1:21">
      <c r="A33" s="286" t="s">
        <v>30</v>
      </c>
      <c r="B33" s="75">
        <v>4406</v>
      </c>
      <c r="C33" s="287">
        <f t="shared" si="6"/>
        <v>4487</v>
      </c>
      <c r="D33" s="288">
        <f t="shared" si="0"/>
        <v>101.83840217884702</v>
      </c>
      <c r="E33" s="289">
        <f t="shared" si="7"/>
        <v>2</v>
      </c>
      <c r="F33" s="290">
        <f t="shared" si="8"/>
        <v>606</v>
      </c>
      <c r="G33" s="290">
        <f t="shared" si="9"/>
        <v>606</v>
      </c>
      <c r="H33" s="291">
        <f t="shared" si="10"/>
        <v>60.238568588469199</v>
      </c>
      <c r="I33" s="292">
        <f t="shared" si="1"/>
        <v>0</v>
      </c>
      <c r="J33" s="293">
        <f t="shared" si="2"/>
        <v>0</v>
      </c>
      <c r="K33" s="294">
        <f t="shared" si="3"/>
        <v>4</v>
      </c>
      <c r="L33" s="294">
        <f t="shared" si="4"/>
        <v>30</v>
      </c>
      <c r="M33" s="295">
        <f t="shared" si="5"/>
        <v>1</v>
      </c>
      <c r="O33" s="93" t="s">
        <v>12</v>
      </c>
      <c r="P33" s="4">
        <v>3574</v>
      </c>
      <c r="Q33" s="4">
        <v>3384</v>
      </c>
      <c r="R33" s="4">
        <v>1207</v>
      </c>
      <c r="S33" s="4">
        <v>1083</v>
      </c>
      <c r="T33" s="4">
        <v>636</v>
      </c>
      <c r="U33" s="11">
        <v>0.58725761772853202</v>
      </c>
    </row>
    <row r="34" spans="1:21">
      <c r="A34" s="286" t="s">
        <v>31</v>
      </c>
      <c r="B34" s="75">
        <v>2673</v>
      </c>
      <c r="C34" s="287">
        <f t="shared" si="6"/>
        <v>2653</v>
      </c>
      <c r="D34" s="288">
        <f t="shared" si="0"/>
        <v>99.251777029554802</v>
      </c>
      <c r="E34" s="289">
        <f t="shared" si="7"/>
        <v>1</v>
      </c>
      <c r="F34" s="290">
        <f t="shared" si="8"/>
        <v>283</v>
      </c>
      <c r="G34" s="290">
        <f t="shared" si="9"/>
        <v>283</v>
      </c>
      <c r="H34" s="291">
        <f t="shared" si="10"/>
        <v>52.996254681647905</v>
      </c>
      <c r="I34" s="292">
        <f t="shared" si="1"/>
        <v>0</v>
      </c>
      <c r="J34" s="293">
        <f t="shared" si="2"/>
        <v>0</v>
      </c>
      <c r="K34" s="294">
        <f t="shared" si="3"/>
        <v>3.970071081182192</v>
      </c>
      <c r="L34" s="294">
        <f t="shared" si="4"/>
        <v>29.775533108866441</v>
      </c>
      <c r="M34" s="295">
        <f t="shared" si="5"/>
        <v>40</v>
      </c>
      <c r="O34" s="93" t="s">
        <v>11</v>
      </c>
      <c r="P34" s="4">
        <v>9664</v>
      </c>
      <c r="Q34" s="4">
        <v>9265</v>
      </c>
      <c r="R34" s="4">
        <v>2782</v>
      </c>
      <c r="S34" s="4">
        <v>2137</v>
      </c>
      <c r="T34" s="4">
        <v>1395</v>
      </c>
      <c r="U34" s="11">
        <v>0.65278427702386499</v>
      </c>
    </row>
    <row r="35" spans="1:21">
      <c r="A35" s="286" t="s">
        <v>33</v>
      </c>
      <c r="B35" s="75">
        <v>2657</v>
      </c>
      <c r="C35" s="287">
        <f t="shared" si="6"/>
        <v>2650</v>
      </c>
      <c r="D35" s="288">
        <f t="shared" si="0"/>
        <v>99.736544975536319</v>
      </c>
      <c r="E35" s="289">
        <f t="shared" si="7"/>
        <v>-1</v>
      </c>
      <c r="F35" s="290">
        <f t="shared" si="8"/>
        <v>390</v>
      </c>
      <c r="G35" s="290">
        <f t="shared" si="9"/>
        <v>390</v>
      </c>
      <c r="H35" s="291">
        <f t="shared" si="10"/>
        <v>61.806656101426306</v>
      </c>
      <c r="I35" s="292">
        <f t="shared" si="1"/>
        <v>0</v>
      </c>
      <c r="J35" s="293">
        <f t="shared" si="2"/>
        <v>0</v>
      </c>
      <c r="K35" s="294">
        <f t="shared" si="3"/>
        <v>3.9894617990214529</v>
      </c>
      <c r="L35" s="294">
        <f t="shared" si="4"/>
        <v>29.920963492660896</v>
      </c>
      <c r="M35" s="295">
        <f t="shared" si="5"/>
        <v>38</v>
      </c>
      <c r="O35" s="134" t="s">
        <v>63</v>
      </c>
      <c r="P35" s="4">
        <v>7067</v>
      </c>
      <c r="Q35" s="4">
        <v>6749</v>
      </c>
      <c r="R35" s="4">
        <v>2455</v>
      </c>
      <c r="S35" s="4">
        <v>1954</v>
      </c>
      <c r="T35" s="4">
        <v>1284</v>
      </c>
      <c r="U35" s="11">
        <v>0.65711361310133098</v>
      </c>
    </row>
    <row r="36" spans="1:21">
      <c r="A36" s="286" t="s">
        <v>32</v>
      </c>
      <c r="B36" s="75">
        <v>3526</v>
      </c>
      <c r="C36" s="287">
        <f t="shared" si="6"/>
        <v>3565</v>
      </c>
      <c r="D36" s="288">
        <f t="shared" si="0"/>
        <v>101.1060692002269</v>
      </c>
      <c r="E36" s="289">
        <f t="shared" si="7"/>
        <v>1</v>
      </c>
      <c r="F36" s="290">
        <f t="shared" si="8"/>
        <v>494</v>
      </c>
      <c r="G36" s="290">
        <f t="shared" si="9"/>
        <v>494</v>
      </c>
      <c r="H36" s="291">
        <f t="shared" si="10"/>
        <v>57.1098265895954</v>
      </c>
      <c r="I36" s="292">
        <f t="shared" si="1"/>
        <v>0</v>
      </c>
      <c r="J36" s="293">
        <f t="shared" si="2"/>
        <v>0</v>
      </c>
      <c r="K36" s="294">
        <f t="shared" si="3"/>
        <v>4</v>
      </c>
      <c r="L36" s="294">
        <f t="shared" si="4"/>
        <v>30</v>
      </c>
      <c r="M36" s="295">
        <f t="shared" si="5"/>
        <v>1</v>
      </c>
      <c r="O36" s="93" t="s">
        <v>13</v>
      </c>
      <c r="P36" s="4">
        <v>6994</v>
      </c>
      <c r="Q36" s="4">
        <v>6704</v>
      </c>
      <c r="R36" s="4">
        <v>2004</v>
      </c>
      <c r="S36" s="4">
        <v>1494</v>
      </c>
      <c r="T36" s="4">
        <v>1012</v>
      </c>
      <c r="U36" s="11">
        <v>0.67737617135207495</v>
      </c>
    </row>
    <row r="37" spans="1:21">
      <c r="A37" s="286" t="s">
        <v>34</v>
      </c>
      <c r="B37" s="75">
        <v>4102</v>
      </c>
      <c r="C37" s="287">
        <f t="shared" si="6"/>
        <v>4149</v>
      </c>
      <c r="D37" s="288">
        <f t="shared" si="0"/>
        <v>101.14578254509995</v>
      </c>
      <c r="E37" s="289">
        <f t="shared" si="7"/>
        <v>1</v>
      </c>
      <c r="F37" s="290">
        <f t="shared" si="8"/>
        <v>670</v>
      </c>
      <c r="G37" s="290">
        <f t="shared" si="9"/>
        <v>670</v>
      </c>
      <c r="H37" s="291">
        <f t="shared" si="10"/>
        <v>68.089430894308904</v>
      </c>
      <c r="I37" s="292">
        <f t="shared" si="1"/>
        <v>0</v>
      </c>
      <c r="J37" s="293">
        <f t="shared" si="2"/>
        <v>0</v>
      </c>
      <c r="K37" s="294">
        <f t="shared" si="3"/>
        <v>4</v>
      </c>
      <c r="L37" s="294">
        <f t="shared" si="4"/>
        <v>30</v>
      </c>
      <c r="M37" s="295">
        <f t="shared" si="5"/>
        <v>1</v>
      </c>
      <c r="O37" s="93" t="s">
        <v>14</v>
      </c>
      <c r="P37" s="4">
        <v>10595</v>
      </c>
      <c r="Q37" s="4">
        <v>10152</v>
      </c>
      <c r="R37" s="4">
        <v>3079</v>
      </c>
      <c r="S37" s="4">
        <v>2379</v>
      </c>
      <c r="T37" s="4">
        <v>1574</v>
      </c>
      <c r="U37" s="11">
        <v>0.66162253047498998</v>
      </c>
    </row>
    <row r="38" spans="1:21">
      <c r="A38" s="286" t="s">
        <v>36</v>
      </c>
      <c r="B38" s="75">
        <v>3096</v>
      </c>
      <c r="C38" s="287">
        <f t="shared" si="6"/>
        <v>3148</v>
      </c>
      <c r="D38" s="288">
        <f t="shared" si="0"/>
        <v>101.6795865633075</v>
      </c>
      <c r="E38" s="289">
        <f t="shared" si="7"/>
        <v>0</v>
      </c>
      <c r="F38" s="290">
        <f t="shared" si="8"/>
        <v>406</v>
      </c>
      <c r="G38" s="290">
        <f t="shared" si="9"/>
        <v>406</v>
      </c>
      <c r="H38" s="291">
        <f t="shared" si="10"/>
        <v>53.280839895013102</v>
      </c>
      <c r="I38" s="292">
        <f t="shared" si="1"/>
        <v>0</v>
      </c>
      <c r="J38" s="293">
        <f t="shared" si="2"/>
        <v>0</v>
      </c>
      <c r="K38" s="294">
        <f t="shared" si="3"/>
        <v>4</v>
      </c>
      <c r="L38" s="294">
        <f t="shared" si="4"/>
        <v>30</v>
      </c>
      <c r="M38" s="295">
        <f t="shared" si="5"/>
        <v>1</v>
      </c>
      <c r="O38" s="93" t="s">
        <v>16</v>
      </c>
      <c r="P38" s="4">
        <v>8045</v>
      </c>
      <c r="Q38" s="4">
        <v>7710</v>
      </c>
      <c r="R38" s="4">
        <v>2485</v>
      </c>
      <c r="S38" s="4">
        <v>1968</v>
      </c>
      <c r="T38" s="4">
        <v>1339</v>
      </c>
      <c r="U38" s="11">
        <v>0.68038617886178898</v>
      </c>
    </row>
    <row r="39" spans="1:21">
      <c r="A39" s="286" t="s">
        <v>38</v>
      </c>
      <c r="B39" s="75">
        <v>3148</v>
      </c>
      <c r="C39" s="287">
        <f t="shared" si="6"/>
        <v>3175</v>
      </c>
      <c r="D39" s="288">
        <f t="shared" si="0"/>
        <v>100.8576874205845</v>
      </c>
      <c r="E39" s="289">
        <f t="shared" si="7"/>
        <v>1</v>
      </c>
      <c r="F39" s="290">
        <f t="shared" si="8"/>
        <v>447</v>
      </c>
      <c r="G39" s="290">
        <f t="shared" si="9"/>
        <v>447</v>
      </c>
      <c r="H39" s="291">
        <f t="shared" si="10"/>
        <v>69.517884914463508</v>
      </c>
      <c r="I39" s="292">
        <f t="shared" si="1"/>
        <v>0</v>
      </c>
      <c r="J39" s="293">
        <f t="shared" si="2"/>
        <v>0</v>
      </c>
      <c r="K39" s="294">
        <f t="shared" si="3"/>
        <v>4</v>
      </c>
      <c r="L39" s="294">
        <f t="shared" si="4"/>
        <v>30</v>
      </c>
      <c r="M39" s="295">
        <f t="shared" si="5"/>
        <v>1</v>
      </c>
      <c r="O39" s="93" t="s">
        <v>19</v>
      </c>
      <c r="P39" s="4">
        <v>9121</v>
      </c>
      <c r="Q39" s="4">
        <v>8810</v>
      </c>
      <c r="R39" s="4">
        <v>2584</v>
      </c>
      <c r="S39" s="4">
        <v>1938</v>
      </c>
      <c r="T39" s="4">
        <v>1276</v>
      </c>
      <c r="U39" s="11">
        <v>0.65841073271413797</v>
      </c>
    </row>
    <row r="40" spans="1:21">
      <c r="A40" s="286" t="s">
        <v>39</v>
      </c>
      <c r="B40" s="75">
        <v>1815</v>
      </c>
      <c r="C40" s="287">
        <f t="shared" si="6"/>
        <v>1873</v>
      </c>
      <c r="D40" s="288">
        <f t="shared" si="0"/>
        <v>103.19559228650138</v>
      </c>
      <c r="E40" s="289">
        <f t="shared" si="7"/>
        <v>1</v>
      </c>
      <c r="F40" s="290">
        <f t="shared" si="8"/>
        <v>286</v>
      </c>
      <c r="G40" s="290">
        <f t="shared" si="9"/>
        <v>286</v>
      </c>
      <c r="H40" s="291">
        <f t="shared" si="10"/>
        <v>60.084033613445399</v>
      </c>
      <c r="I40" s="292">
        <f t="shared" si="1"/>
        <v>0</v>
      </c>
      <c r="J40" s="293">
        <f t="shared" si="2"/>
        <v>0</v>
      </c>
      <c r="K40" s="294">
        <f t="shared" si="3"/>
        <v>4</v>
      </c>
      <c r="L40" s="294">
        <f t="shared" si="4"/>
        <v>30</v>
      </c>
      <c r="M40" s="295">
        <f t="shared" si="5"/>
        <v>1</v>
      </c>
      <c r="O40" s="93" t="s">
        <v>5</v>
      </c>
      <c r="P40" s="4">
        <v>8110</v>
      </c>
      <c r="Q40" s="4">
        <v>7768</v>
      </c>
      <c r="R40" s="4">
        <v>2924</v>
      </c>
      <c r="S40" s="4">
        <v>2059</v>
      </c>
      <c r="T40" s="4">
        <v>1568</v>
      </c>
      <c r="U40" s="11">
        <v>0.76153472559494895</v>
      </c>
    </row>
    <row r="41" spans="1:21">
      <c r="A41" s="286" t="s">
        <v>41</v>
      </c>
      <c r="B41" s="75">
        <v>1064</v>
      </c>
      <c r="C41" s="287">
        <f t="shared" si="6"/>
        <v>1058</v>
      </c>
      <c r="D41" s="288">
        <f t="shared" si="0"/>
        <v>99.436090225563902</v>
      </c>
      <c r="E41" s="289">
        <f t="shared" si="7"/>
        <v>0</v>
      </c>
      <c r="F41" s="290">
        <f t="shared" si="8"/>
        <v>170</v>
      </c>
      <c r="G41" s="290">
        <f t="shared" si="9"/>
        <v>170</v>
      </c>
      <c r="H41" s="291">
        <f t="shared" si="10"/>
        <v>65.384615384615401</v>
      </c>
      <c r="I41" s="292">
        <f t="shared" si="1"/>
        <v>0</v>
      </c>
      <c r="J41" s="293">
        <f t="shared" si="2"/>
        <v>0</v>
      </c>
      <c r="K41" s="294">
        <f t="shared" si="3"/>
        <v>3.977443609022556</v>
      </c>
      <c r="L41" s="294">
        <f t="shared" si="4"/>
        <v>29.830827067669169</v>
      </c>
      <c r="M41" s="295">
        <f t="shared" si="5"/>
        <v>39</v>
      </c>
      <c r="O41" s="93" t="s">
        <v>17</v>
      </c>
      <c r="P41" s="4">
        <v>16750</v>
      </c>
      <c r="Q41" s="4">
        <v>16087</v>
      </c>
      <c r="R41" s="4">
        <v>4671</v>
      </c>
      <c r="S41" s="4">
        <v>3739</v>
      </c>
      <c r="T41" s="4">
        <v>2428</v>
      </c>
      <c r="U41" s="11">
        <v>0.64937148970312897</v>
      </c>
    </row>
    <row r="42" spans="1:21">
      <c r="A42" s="286" t="s">
        <v>40</v>
      </c>
      <c r="B42" s="75">
        <v>3723</v>
      </c>
      <c r="C42" s="287">
        <f t="shared" si="6"/>
        <v>3772</v>
      </c>
      <c r="D42" s="288">
        <f t="shared" si="0"/>
        <v>101.31614289551437</v>
      </c>
      <c r="E42" s="289">
        <f t="shared" si="7"/>
        <v>3</v>
      </c>
      <c r="F42" s="290">
        <f t="shared" si="8"/>
        <v>549</v>
      </c>
      <c r="G42" s="290">
        <f t="shared" si="9"/>
        <v>549</v>
      </c>
      <c r="H42" s="291">
        <f t="shared" si="10"/>
        <v>70.656370656370697</v>
      </c>
      <c r="I42" s="292">
        <f t="shared" si="1"/>
        <v>0</v>
      </c>
      <c r="J42" s="293">
        <f t="shared" si="2"/>
        <v>0</v>
      </c>
      <c r="K42" s="294">
        <f t="shared" si="3"/>
        <v>4</v>
      </c>
      <c r="L42" s="294">
        <f t="shared" si="4"/>
        <v>30</v>
      </c>
      <c r="M42" s="295">
        <f t="shared" si="5"/>
        <v>1</v>
      </c>
      <c r="O42" s="93" t="s">
        <v>20</v>
      </c>
      <c r="P42" s="4">
        <v>7448</v>
      </c>
      <c r="Q42" s="4">
        <v>7073</v>
      </c>
      <c r="R42" s="4">
        <v>2040</v>
      </c>
      <c r="S42" s="4">
        <v>1561</v>
      </c>
      <c r="T42" s="4">
        <v>1039</v>
      </c>
      <c r="U42" s="11">
        <v>0.66559897501601495</v>
      </c>
    </row>
    <row r="43" spans="1:21">
      <c r="A43" s="286" t="s">
        <v>42</v>
      </c>
      <c r="B43" s="75">
        <v>2681</v>
      </c>
      <c r="C43" s="287">
        <f t="shared" si="6"/>
        <v>2728</v>
      </c>
      <c r="D43" s="288">
        <f t="shared" si="0"/>
        <v>101.75307720999628</v>
      </c>
      <c r="E43" s="289">
        <f t="shared" si="7"/>
        <v>1</v>
      </c>
      <c r="F43" s="290">
        <f t="shared" si="8"/>
        <v>374</v>
      </c>
      <c r="G43" s="290">
        <f t="shared" si="9"/>
        <v>374</v>
      </c>
      <c r="H43" s="291">
        <f t="shared" si="10"/>
        <v>63.605442176870795</v>
      </c>
      <c r="I43" s="292">
        <f t="shared" si="1"/>
        <v>0</v>
      </c>
      <c r="J43" s="293">
        <f t="shared" si="2"/>
        <v>0</v>
      </c>
      <c r="K43" s="294">
        <f t="shared" si="3"/>
        <v>4</v>
      </c>
      <c r="L43" s="294">
        <f t="shared" si="4"/>
        <v>30</v>
      </c>
      <c r="M43" s="295">
        <f t="shared" si="5"/>
        <v>1</v>
      </c>
      <c r="O43" s="93" t="s">
        <v>6</v>
      </c>
      <c r="P43" s="4">
        <v>6360</v>
      </c>
      <c r="Q43" s="4">
        <v>6122</v>
      </c>
      <c r="R43" s="4">
        <v>1934</v>
      </c>
      <c r="S43" s="4">
        <v>1368</v>
      </c>
      <c r="T43" s="4">
        <v>978</v>
      </c>
      <c r="U43" s="11">
        <v>0.71491228070175405</v>
      </c>
    </row>
    <row r="44" spans="1:21">
      <c r="A44" s="297" t="s">
        <v>43</v>
      </c>
      <c r="B44" s="96">
        <v>4481</v>
      </c>
      <c r="C44" s="298">
        <f t="shared" si="6"/>
        <v>4566</v>
      </c>
      <c r="D44" s="288">
        <f t="shared" si="0"/>
        <v>101.89689801383619</v>
      </c>
      <c r="E44" s="289">
        <f t="shared" si="7"/>
        <v>-1</v>
      </c>
      <c r="F44" s="290">
        <f t="shared" si="8"/>
        <v>682</v>
      </c>
      <c r="G44" s="290">
        <f t="shared" si="9"/>
        <v>682</v>
      </c>
      <c r="H44" s="291">
        <f t="shared" si="10"/>
        <v>60.568383658969807</v>
      </c>
      <c r="I44" s="293">
        <f t="shared" si="1"/>
        <v>0</v>
      </c>
      <c r="J44" s="293">
        <f t="shared" si="2"/>
        <v>0</v>
      </c>
      <c r="K44" s="294">
        <f t="shared" si="3"/>
        <v>4</v>
      </c>
      <c r="L44" s="294">
        <f t="shared" si="4"/>
        <v>30</v>
      </c>
      <c r="M44" s="295">
        <f t="shared" si="5"/>
        <v>1</v>
      </c>
      <c r="O44" s="93" t="s">
        <v>23</v>
      </c>
      <c r="P44" s="4">
        <v>7744</v>
      </c>
      <c r="Q44" s="4">
        <v>7364</v>
      </c>
      <c r="R44" s="4">
        <v>1913</v>
      </c>
      <c r="S44" s="4">
        <v>1668</v>
      </c>
      <c r="T44" s="4">
        <v>1033</v>
      </c>
      <c r="U44" s="11">
        <v>0.61930455635491599</v>
      </c>
    </row>
    <row r="45" spans="1:21">
      <c r="A45" s="297" t="s">
        <v>172</v>
      </c>
      <c r="B45" s="299">
        <v>50</v>
      </c>
      <c r="C45" s="300">
        <v>65</v>
      </c>
      <c r="D45" s="288"/>
      <c r="E45" s="301"/>
      <c r="F45" s="302">
        <v>19</v>
      </c>
      <c r="G45" s="176">
        <v>21</v>
      </c>
      <c r="H45" s="303"/>
      <c r="I45" s="169"/>
      <c r="J45" s="169"/>
      <c r="K45" s="304"/>
      <c r="L45" s="304"/>
      <c r="M45" s="305"/>
      <c r="O45" s="93" t="s">
        <v>24</v>
      </c>
      <c r="P45" s="4">
        <v>6956</v>
      </c>
      <c r="Q45" s="4">
        <v>6700</v>
      </c>
      <c r="R45" s="4">
        <v>1951</v>
      </c>
      <c r="S45" s="4">
        <v>1615</v>
      </c>
      <c r="T45" s="4">
        <v>942</v>
      </c>
      <c r="U45" s="11">
        <v>0.58328173374613002</v>
      </c>
    </row>
    <row r="46" spans="1:21" ht="17.25" customHeight="1" thickBot="1">
      <c r="A46" s="220" t="s">
        <v>142</v>
      </c>
      <c r="B46" s="306">
        <f>SUM(B5:B45)</f>
        <v>278500</v>
      </c>
      <c r="C46" s="306">
        <f>SUM(C5:C45)</f>
        <v>282913</v>
      </c>
      <c r="D46" s="307">
        <f>C46/B46%</f>
        <v>101.58456014362658</v>
      </c>
      <c r="E46" s="308">
        <f>SUM(E5:E44)</f>
        <v>60</v>
      </c>
      <c r="F46" s="309">
        <f>SUM(F5:F45)</f>
        <v>42470</v>
      </c>
      <c r="G46" s="309">
        <f>SUM(G5:G45)</f>
        <v>39937.315763424893</v>
      </c>
      <c r="H46" s="307">
        <v>64.5</v>
      </c>
      <c r="I46" s="310"/>
      <c r="J46" s="310"/>
      <c r="K46" s="310"/>
      <c r="L46" s="311"/>
      <c r="M46" s="312"/>
      <c r="O46" s="93" t="s">
        <v>27</v>
      </c>
      <c r="P46" s="4">
        <v>8856</v>
      </c>
      <c r="Q46" s="4">
        <v>8465</v>
      </c>
      <c r="R46" s="4">
        <v>2764</v>
      </c>
      <c r="S46" s="4">
        <v>2145</v>
      </c>
      <c r="T46" s="4">
        <v>1409</v>
      </c>
      <c r="U46" s="11">
        <v>0.65687645687645702</v>
      </c>
    </row>
    <row r="47" spans="1:21" ht="17.25" customHeight="1">
      <c r="A47" s="313"/>
      <c r="B47" s="313"/>
      <c r="C47" s="313"/>
      <c r="D47" s="313"/>
      <c r="E47" s="313"/>
      <c r="F47" s="313"/>
      <c r="G47" s="313"/>
      <c r="H47" s="313"/>
      <c r="I47" s="313"/>
      <c r="J47" s="313"/>
      <c r="K47" s="206"/>
      <c r="L47" s="206"/>
      <c r="M47" s="206"/>
      <c r="O47" s="93" t="s">
        <v>76</v>
      </c>
      <c r="P47" s="4">
        <v>5</v>
      </c>
      <c r="Q47" s="4">
        <v>5</v>
      </c>
      <c r="R47" s="4">
        <v>2</v>
      </c>
      <c r="S47" s="4">
        <v>3</v>
      </c>
      <c r="T47" s="4">
        <v>0</v>
      </c>
      <c r="U47" s="11">
        <v>0</v>
      </c>
    </row>
    <row r="48" spans="1:21" ht="16.5" customHeight="1">
      <c r="O48" s="93" t="s">
        <v>77</v>
      </c>
      <c r="P48" s="4">
        <v>63</v>
      </c>
      <c r="Q48" s="4">
        <v>62</v>
      </c>
      <c r="R48" s="4">
        <v>37</v>
      </c>
      <c r="S48" s="4">
        <v>28</v>
      </c>
      <c r="T48" s="4">
        <v>21</v>
      </c>
      <c r="U48" s="11">
        <v>0.75</v>
      </c>
    </row>
    <row r="49" spans="11:21">
      <c r="P49" s="5">
        <v>295237</v>
      </c>
      <c r="Q49" s="5">
        <v>282915</v>
      </c>
      <c r="R49" s="5">
        <v>86275</v>
      </c>
      <c r="S49" s="5">
        <v>65853</v>
      </c>
      <c r="T49" s="5">
        <v>42472</v>
      </c>
      <c r="U49" s="12">
        <v>0.64495163470153205</v>
      </c>
    </row>
    <row r="50" spans="11:21">
      <c r="P50" s="5">
        <v>295237</v>
      </c>
      <c r="Q50" s="5">
        <v>282915</v>
      </c>
      <c r="R50" s="5">
        <v>86275</v>
      </c>
      <c r="S50" s="5">
        <v>65853</v>
      </c>
      <c r="T50" s="5">
        <v>42472</v>
      </c>
      <c r="U50" s="12">
        <v>0.64495163470153205</v>
      </c>
    </row>
    <row r="51" spans="11:21">
      <c r="O51" s="314" t="s">
        <v>160</v>
      </c>
      <c r="P51" s="197"/>
      <c r="Q51" s="197"/>
      <c r="R51" s="197"/>
      <c r="S51" s="197"/>
      <c r="T51" s="197"/>
      <c r="U51" s="315"/>
    </row>
    <row r="52" spans="11:21" ht="33.75">
      <c r="O52" s="270"/>
      <c r="P52" s="285" t="s">
        <v>72</v>
      </c>
      <c r="Q52" s="285" t="s">
        <v>73</v>
      </c>
      <c r="R52" s="285" t="s">
        <v>74</v>
      </c>
      <c r="S52" s="285" t="s">
        <v>169</v>
      </c>
      <c r="T52" s="285" t="s">
        <v>75</v>
      </c>
      <c r="U52" s="272" t="s">
        <v>166</v>
      </c>
    </row>
    <row r="53" spans="11:21">
      <c r="O53" s="92" t="s">
        <v>25</v>
      </c>
      <c r="P53" s="4">
        <v>10813</v>
      </c>
      <c r="Q53" s="4">
        <v>10348</v>
      </c>
      <c r="R53" s="4">
        <v>3680</v>
      </c>
      <c r="S53" s="4">
        <v>2624</v>
      </c>
      <c r="T53" s="4">
        <v>1819</v>
      </c>
      <c r="U53" s="11">
        <v>0.69321646341463405</v>
      </c>
    </row>
    <row r="54" spans="11:21">
      <c r="O54" s="93" t="s">
        <v>4</v>
      </c>
      <c r="P54" s="4">
        <v>11112</v>
      </c>
      <c r="Q54" s="4">
        <v>10698</v>
      </c>
      <c r="R54" s="4">
        <v>3557</v>
      </c>
      <c r="S54" s="4">
        <v>2380</v>
      </c>
      <c r="T54" s="4">
        <v>1722</v>
      </c>
      <c r="U54" s="11">
        <v>0.72352941176470598</v>
      </c>
    </row>
    <row r="55" spans="11:21">
      <c r="O55" s="93" t="s">
        <v>8</v>
      </c>
      <c r="P55" s="4">
        <v>11598</v>
      </c>
      <c r="Q55" s="4">
        <v>11107</v>
      </c>
      <c r="R55" s="4">
        <v>3757</v>
      </c>
      <c r="S55" s="4">
        <v>2945</v>
      </c>
      <c r="T55" s="4">
        <v>1998</v>
      </c>
      <c r="U55" s="11">
        <v>0.67843803056027197</v>
      </c>
    </row>
    <row r="56" spans="11:21">
      <c r="O56" s="93" t="s">
        <v>40</v>
      </c>
      <c r="P56" s="4">
        <v>3950</v>
      </c>
      <c r="Q56" s="4">
        <v>3769</v>
      </c>
      <c r="R56" s="4">
        <v>1157</v>
      </c>
      <c r="S56" s="4">
        <v>775</v>
      </c>
      <c r="T56" s="4">
        <v>548</v>
      </c>
      <c r="U56" s="11">
        <v>0.70709677419354799</v>
      </c>
    </row>
    <row r="57" spans="11:21">
      <c r="L57" s="44" t="s">
        <v>173</v>
      </c>
      <c r="O57" s="93" t="s">
        <v>37</v>
      </c>
      <c r="P57" s="4">
        <v>4780</v>
      </c>
      <c r="Q57" s="4">
        <v>4580</v>
      </c>
      <c r="R57" s="4">
        <v>1321</v>
      </c>
      <c r="S57" s="4">
        <v>1115</v>
      </c>
      <c r="T57" s="4">
        <v>649</v>
      </c>
      <c r="U57" s="11">
        <v>0.582062780269058</v>
      </c>
    </row>
    <row r="58" spans="11:21">
      <c r="O58" s="93" t="s">
        <v>33</v>
      </c>
      <c r="P58" s="4">
        <v>2751</v>
      </c>
      <c r="Q58" s="4">
        <v>2651</v>
      </c>
      <c r="R58" s="4">
        <v>781</v>
      </c>
      <c r="S58" s="4">
        <v>631</v>
      </c>
      <c r="T58" s="4">
        <v>391</v>
      </c>
      <c r="U58" s="11">
        <v>0.61965134706814595</v>
      </c>
    </row>
    <row r="59" spans="11:21">
      <c r="O59" s="93" t="s">
        <v>28</v>
      </c>
      <c r="P59" s="4">
        <v>7043</v>
      </c>
      <c r="Q59" s="4">
        <v>6740</v>
      </c>
      <c r="R59" s="4">
        <v>2146</v>
      </c>
      <c r="S59" s="4">
        <v>1725</v>
      </c>
      <c r="T59" s="4">
        <v>1096</v>
      </c>
      <c r="U59" s="11">
        <v>0.63536231884058003</v>
      </c>
    </row>
    <row r="60" spans="11:21">
      <c r="K60" s="44" t="s">
        <v>173</v>
      </c>
      <c r="O60" s="93" t="s">
        <v>31</v>
      </c>
      <c r="P60" s="4">
        <v>2730</v>
      </c>
      <c r="Q60" s="4">
        <v>2652</v>
      </c>
      <c r="R60" s="4">
        <v>617</v>
      </c>
      <c r="S60" s="4">
        <v>533</v>
      </c>
      <c r="T60" s="4">
        <v>281</v>
      </c>
      <c r="U60" s="11">
        <v>0.52720450281425901</v>
      </c>
    </row>
    <row r="61" spans="11:21">
      <c r="O61" s="93" t="s">
        <v>32</v>
      </c>
      <c r="P61" s="4">
        <v>3719</v>
      </c>
      <c r="Q61" s="4">
        <v>3564</v>
      </c>
      <c r="R61" s="4">
        <v>1014</v>
      </c>
      <c r="S61" s="4">
        <v>864</v>
      </c>
      <c r="T61" s="4">
        <v>496</v>
      </c>
      <c r="U61" s="11">
        <v>0.57407407407407396</v>
      </c>
    </row>
    <row r="62" spans="11:21">
      <c r="O62" s="93" t="s">
        <v>34</v>
      </c>
      <c r="P62" s="4">
        <v>4308</v>
      </c>
      <c r="Q62" s="4">
        <v>4148</v>
      </c>
      <c r="R62" s="4">
        <v>1372</v>
      </c>
      <c r="S62" s="4">
        <v>983</v>
      </c>
      <c r="T62" s="4">
        <v>670</v>
      </c>
      <c r="U62" s="11">
        <v>0.68158697863682605</v>
      </c>
    </row>
    <row r="63" spans="11:21">
      <c r="O63" s="93" t="s">
        <v>36</v>
      </c>
      <c r="P63" s="4">
        <v>3271</v>
      </c>
      <c r="Q63" s="4">
        <v>3148</v>
      </c>
      <c r="R63" s="4">
        <v>868</v>
      </c>
      <c r="S63" s="4">
        <v>762</v>
      </c>
      <c r="T63" s="4">
        <v>405</v>
      </c>
      <c r="U63" s="11">
        <v>0.53149606299212604</v>
      </c>
    </row>
    <row r="64" spans="11:21">
      <c r="O64" s="93" t="s">
        <v>29</v>
      </c>
      <c r="P64" s="4">
        <v>5835</v>
      </c>
      <c r="Q64" s="4">
        <v>5639</v>
      </c>
      <c r="R64" s="4">
        <v>1834</v>
      </c>
      <c r="S64" s="4">
        <v>1389</v>
      </c>
      <c r="T64" s="4">
        <v>868</v>
      </c>
      <c r="U64" s="11">
        <v>0.62491000719942402</v>
      </c>
    </row>
    <row r="65" spans="15:24">
      <c r="O65" s="93" t="s">
        <v>30</v>
      </c>
      <c r="P65" s="4">
        <v>4657</v>
      </c>
      <c r="Q65" s="4">
        <v>4485</v>
      </c>
      <c r="R65" s="4">
        <v>1347</v>
      </c>
      <c r="S65" s="4">
        <v>1005</v>
      </c>
      <c r="T65" s="4">
        <v>606</v>
      </c>
      <c r="U65" s="11">
        <v>0.60298507462686601</v>
      </c>
    </row>
    <row r="66" spans="15:24">
      <c r="O66" s="93" t="s">
        <v>35</v>
      </c>
      <c r="P66" s="4">
        <v>4013</v>
      </c>
      <c r="Q66" s="4">
        <v>3871</v>
      </c>
      <c r="R66" s="4">
        <v>1029</v>
      </c>
      <c r="S66" s="4">
        <v>782</v>
      </c>
      <c r="T66" s="4">
        <v>445</v>
      </c>
      <c r="U66" s="11">
        <v>0.569053708439898</v>
      </c>
    </row>
    <row r="67" spans="15:24">
      <c r="O67" s="93" t="s">
        <v>9</v>
      </c>
      <c r="P67" s="4">
        <v>9619</v>
      </c>
      <c r="Q67" s="4">
        <v>9262</v>
      </c>
      <c r="R67" s="4">
        <v>2722</v>
      </c>
      <c r="S67" s="4">
        <v>1952</v>
      </c>
      <c r="T67" s="4">
        <v>1126</v>
      </c>
      <c r="U67" s="11">
        <v>0.57684426229508201</v>
      </c>
    </row>
    <row r="68" spans="15:24">
      <c r="O68" s="93" t="s">
        <v>26</v>
      </c>
      <c r="P68" s="4">
        <v>9299</v>
      </c>
      <c r="Q68" s="4">
        <v>8912</v>
      </c>
      <c r="R68" s="4">
        <v>2148</v>
      </c>
      <c r="S68" s="4">
        <v>1858</v>
      </c>
      <c r="T68" s="4">
        <v>1090</v>
      </c>
      <c r="U68" s="11">
        <v>0.58665231431646903</v>
      </c>
    </row>
    <row r="69" spans="15:24">
      <c r="O69" s="93" t="s">
        <v>38</v>
      </c>
      <c r="P69" s="4">
        <v>3322</v>
      </c>
      <c r="Q69" s="4">
        <v>3174</v>
      </c>
      <c r="R69" s="4">
        <v>1003</v>
      </c>
      <c r="S69" s="4">
        <v>644</v>
      </c>
      <c r="T69" s="4">
        <v>446</v>
      </c>
      <c r="U69" s="11">
        <v>0.69254658385093204</v>
      </c>
    </row>
    <row r="70" spans="15:24">
      <c r="O70" s="93" t="s">
        <v>10</v>
      </c>
      <c r="P70" s="4">
        <v>10900</v>
      </c>
      <c r="Q70" s="4">
        <v>10407</v>
      </c>
      <c r="R70" s="4">
        <v>2694</v>
      </c>
      <c r="S70" s="4">
        <v>2311</v>
      </c>
      <c r="T70" s="4">
        <v>1298</v>
      </c>
      <c r="U70" s="11">
        <v>0.56166161834703598</v>
      </c>
    </row>
    <row r="71" spans="15:24">
      <c r="O71" s="93" t="s">
        <v>42</v>
      </c>
      <c r="P71" s="4">
        <v>2846</v>
      </c>
      <c r="Q71" s="4">
        <v>2727</v>
      </c>
      <c r="R71" s="4">
        <v>848</v>
      </c>
      <c r="S71" s="4">
        <v>586</v>
      </c>
      <c r="T71" s="4">
        <v>373</v>
      </c>
      <c r="U71" s="11">
        <v>0.63651877133105805</v>
      </c>
    </row>
    <row r="72" spans="15:24">
      <c r="O72" s="93" t="s">
        <v>39</v>
      </c>
      <c r="P72" s="4">
        <v>1944</v>
      </c>
      <c r="Q72" s="4">
        <v>1872</v>
      </c>
      <c r="R72" s="4">
        <v>585</v>
      </c>
      <c r="S72" s="4">
        <v>476</v>
      </c>
      <c r="T72" s="4">
        <v>283</v>
      </c>
      <c r="U72" s="11">
        <v>0.59453781512604997</v>
      </c>
    </row>
    <row r="73" spans="15:24">
      <c r="O73" s="93" t="s">
        <v>41</v>
      </c>
      <c r="P73" s="4">
        <v>1092</v>
      </c>
      <c r="Q73" s="4">
        <v>1058</v>
      </c>
      <c r="R73" s="4">
        <v>460</v>
      </c>
      <c r="S73" s="4">
        <v>260</v>
      </c>
      <c r="T73" s="4">
        <v>171</v>
      </c>
      <c r="U73" s="11">
        <v>0.65769230769230802</v>
      </c>
    </row>
    <row r="74" spans="15:24">
      <c r="O74" s="93" t="s">
        <v>21</v>
      </c>
      <c r="P74" s="4">
        <v>8748</v>
      </c>
      <c r="Q74" s="4">
        <v>8362</v>
      </c>
      <c r="R74" s="4">
        <v>2872</v>
      </c>
      <c r="S74" s="4">
        <v>1799</v>
      </c>
      <c r="T74" s="4">
        <v>1236</v>
      </c>
      <c r="U74" s="11">
        <v>0.68704836020011095</v>
      </c>
    </row>
    <row r="75" spans="15:24">
      <c r="O75" s="93" t="s">
        <v>43</v>
      </c>
      <c r="P75" s="4">
        <v>4799</v>
      </c>
      <c r="Q75" s="4">
        <v>4567</v>
      </c>
      <c r="R75" s="4">
        <v>1290</v>
      </c>
      <c r="S75" s="4">
        <v>1125</v>
      </c>
      <c r="T75" s="4">
        <v>681</v>
      </c>
      <c r="U75" s="11">
        <v>0.60533333333333295</v>
      </c>
    </row>
    <row r="76" spans="15:24">
      <c r="O76" s="93" t="s">
        <v>15</v>
      </c>
      <c r="P76" s="4">
        <v>11252</v>
      </c>
      <c r="Q76" s="4">
        <v>10717</v>
      </c>
      <c r="R76" s="4">
        <v>3188</v>
      </c>
      <c r="S76" s="4">
        <v>2368</v>
      </c>
      <c r="T76" s="4">
        <v>1449</v>
      </c>
      <c r="U76" s="11">
        <v>0.61190878378378399</v>
      </c>
    </row>
    <row r="77" spans="15:24">
      <c r="O77" s="93" t="s">
        <v>22</v>
      </c>
      <c r="P77" s="4">
        <v>7017</v>
      </c>
      <c r="Q77" s="4">
        <v>6683</v>
      </c>
      <c r="R77" s="4">
        <v>1667</v>
      </c>
      <c r="S77" s="4">
        <v>1567</v>
      </c>
      <c r="T77" s="4">
        <v>860</v>
      </c>
      <c r="U77" s="11">
        <v>0.54881940012763197</v>
      </c>
    </row>
    <row r="78" spans="15:24">
      <c r="O78" s="134" t="s">
        <v>7</v>
      </c>
      <c r="P78" s="4">
        <v>11203</v>
      </c>
      <c r="Q78" s="4">
        <v>10750</v>
      </c>
      <c r="R78" s="4">
        <v>2834</v>
      </c>
      <c r="S78" s="4">
        <v>2085</v>
      </c>
      <c r="T78" s="4">
        <v>1316</v>
      </c>
      <c r="U78" s="11">
        <v>0.63117505995203804</v>
      </c>
      <c r="V78" s="9">
        <f>Q78+Q82</f>
        <v>17496</v>
      </c>
      <c r="W78" s="9">
        <f>S78+S82</f>
        <v>4036</v>
      </c>
      <c r="X78" s="9">
        <f>T78+T82</f>
        <v>2597</v>
      </c>
    </row>
    <row r="79" spans="15:24">
      <c r="O79" s="93" t="s">
        <v>18</v>
      </c>
      <c r="P79" s="4">
        <v>15226</v>
      </c>
      <c r="Q79" s="4">
        <v>14576</v>
      </c>
      <c r="R79" s="4">
        <v>4563</v>
      </c>
      <c r="S79" s="4">
        <v>3129</v>
      </c>
      <c r="T79" s="4">
        <v>2161</v>
      </c>
      <c r="U79" s="11">
        <v>0.69063598593799902</v>
      </c>
    </row>
    <row r="80" spans="15:24">
      <c r="O80" s="93" t="s">
        <v>12</v>
      </c>
      <c r="P80" s="4">
        <v>3573</v>
      </c>
      <c r="Q80" s="4">
        <v>3383</v>
      </c>
      <c r="R80" s="4">
        <v>1207</v>
      </c>
      <c r="S80" s="4">
        <v>1083</v>
      </c>
      <c r="T80" s="4">
        <v>636</v>
      </c>
      <c r="U80" s="11">
        <v>0.58725761772853202</v>
      </c>
    </row>
    <row r="81" spans="15:21">
      <c r="O81" s="93" t="s">
        <v>11</v>
      </c>
      <c r="P81" s="4">
        <v>9659</v>
      </c>
      <c r="Q81" s="4">
        <v>9261</v>
      </c>
      <c r="R81" s="4">
        <v>2777</v>
      </c>
      <c r="S81" s="4">
        <v>2132</v>
      </c>
      <c r="T81" s="4">
        <v>1391</v>
      </c>
      <c r="U81" s="11">
        <v>0.65243902439024404</v>
      </c>
    </row>
    <row r="82" spans="15:21">
      <c r="O82" s="134" t="s">
        <v>63</v>
      </c>
      <c r="P82" s="4">
        <v>7064</v>
      </c>
      <c r="Q82" s="4">
        <v>6746</v>
      </c>
      <c r="R82" s="4">
        <v>2451</v>
      </c>
      <c r="S82" s="4">
        <v>1951</v>
      </c>
      <c r="T82" s="4">
        <v>1281</v>
      </c>
      <c r="U82" s="11">
        <v>0.65658636596617104</v>
      </c>
    </row>
    <row r="83" spans="15:21">
      <c r="O83" s="93" t="s">
        <v>13</v>
      </c>
      <c r="P83" s="4">
        <v>6992</v>
      </c>
      <c r="Q83" s="4">
        <v>6703</v>
      </c>
      <c r="R83" s="4">
        <v>2003</v>
      </c>
      <c r="S83" s="4">
        <v>1492</v>
      </c>
      <c r="T83" s="4">
        <v>1011</v>
      </c>
      <c r="U83" s="11">
        <v>0.67761394101876704</v>
      </c>
    </row>
    <row r="84" spans="15:21">
      <c r="O84" s="93" t="s">
        <v>14</v>
      </c>
      <c r="P84" s="4">
        <v>10591</v>
      </c>
      <c r="Q84" s="4">
        <v>10149</v>
      </c>
      <c r="R84" s="4">
        <v>3077</v>
      </c>
      <c r="S84" s="4">
        <v>2378</v>
      </c>
      <c r="T84" s="4">
        <v>1572</v>
      </c>
      <c r="U84" s="11">
        <v>0.66105971404541597</v>
      </c>
    </row>
    <row r="85" spans="15:21">
      <c r="O85" s="93" t="s">
        <v>16</v>
      </c>
      <c r="P85" s="4">
        <v>8041</v>
      </c>
      <c r="Q85" s="4">
        <v>7707</v>
      </c>
      <c r="R85" s="4">
        <v>2477</v>
      </c>
      <c r="S85" s="4">
        <v>1965</v>
      </c>
      <c r="T85" s="4">
        <v>1334</v>
      </c>
      <c r="U85" s="11">
        <v>0.67888040712468201</v>
      </c>
    </row>
    <row r="86" spans="15:21">
      <c r="O86" s="93" t="s">
        <v>19</v>
      </c>
      <c r="P86" s="4">
        <v>9120</v>
      </c>
      <c r="Q86" s="4">
        <v>8809</v>
      </c>
      <c r="R86" s="4">
        <v>2580</v>
      </c>
      <c r="S86" s="4">
        <v>1936</v>
      </c>
      <c r="T86" s="4">
        <v>1273</v>
      </c>
      <c r="U86" s="11">
        <v>0.65754132231405005</v>
      </c>
    </row>
    <row r="87" spans="15:21">
      <c r="O87" s="93" t="s">
        <v>5</v>
      </c>
      <c r="P87" s="4">
        <v>8107</v>
      </c>
      <c r="Q87" s="4">
        <v>7766</v>
      </c>
      <c r="R87" s="4">
        <v>2923</v>
      </c>
      <c r="S87" s="4">
        <v>2056</v>
      </c>
      <c r="T87" s="4">
        <v>1566</v>
      </c>
      <c r="U87" s="11">
        <v>0.76167315175097305</v>
      </c>
    </row>
    <row r="88" spans="15:21">
      <c r="O88" s="93" t="s">
        <v>17</v>
      </c>
      <c r="P88" s="4">
        <v>16747</v>
      </c>
      <c r="Q88" s="4">
        <v>16083</v>
      </c>
      <c r="R88" s="4">
        <v>4659</v>
      </c>
      <c r="S88" s="4">
        <v>3737</v>
      </c>
      <c r="T88" s="4">
        <v>2420</v>
      </c>
      <c r="U88" s="11">
        <v>0.64757827134064805</v>
      </c>
    </row>
    <row r="89" spans="15:21">
      <c r="O89" s="93" t="s">
        <v>20</v>
      </c>
      <c r="P89" s="4">
        <v>7444</v>
      </c>
      <c r="Q89" s="4">
        <v>7069</v>
      </c>
      <c r="R89" s="4">
        <v>2034</v>
      </c>
      <c r="S89" s="4">
        <v>1558</v>
      </c>
      <c r="T89" s="4">
        <v>1036</v>
      </c>
      <c r="U89" s="11">
        <v>0.66495507060333803</v>
      </c>
    </row>
    <row r="90" spans="15:21">
      <c r="O90" s="93" t="s">
        <v>6</v>
      </c>
      <c r="P90" s="4">
        <v>6360</v>
      </c>
      <c r="Q90" s="4">
        <v>6122</v>
      </c>
      <c r="R90" s="4">
        <v>1928</v>
      </c>
      <c r="S90" s="4">
        <v>1368</v>
      </c>
      <c r="T90" s="4">
        <v>975</v>
      </c>
      <c r="U90" s="11">
        <v>0.71271929824561397</v>
      </c>
    </row>
    <row r="91" spans="15:21">
      <c r="O91" s="93" t="s">
        <v>23</v>
      </c>
      <c r="P91" s="4">
        <v>7740</v>
      </c>
      <c r="Q91" s="4">
        <v>7360</v>
      </c>
      <c r="R91" s="4">
        <v>1907</v>
      </c>
      <c r="S91" s="4">
        <v>1666</v>
      </c>
      <c r="T91" s="4">
        <v>1028</v>
      </c>
      <c r="U91" s="11">
        <v>0.61704681872749101</v>
      </c>
    </row>
    <row r="92" spans="15:21">
      <c r="O92" s="93" t="s">
        <v>24</v>
      </c>
      <c r="P92" s="4">
        <v>6956</v>
      </c>
      <c r="Q92" s="4">
        <v>6700</v>
      </c>
      <c r="R92" s="4">
        <v>1950</v>
      </c>
      <c r="S92" s="4">
        <v>1615</v>
      </c>
      <c r="T92" s="4">
        <v>941</v>
      </c>
      <c r="U92" s="11">
        <v>0.58266253869968998</v>
      </c>
    </row>
    <row r="93" spans="15:21">
      <c r="O93" s="93" t="s">
        <v>27</v>
      </c>
      <c r="P93" s="4">
        <v>8854</v>
      </c>
      <c r="Q93" s="4">
        <v>8463</v>
      </c>
      <c r="R93" s="4">
        <v>2759</v>
      </c>
      <c r="S93" s="4">
        <v>2144</v>
      </c>
      <c r="T93" s="4">
        <v>1406</v>
      </c>
      <c r="U93" s="11">
        <v>0.65578358208955201</v>
      </c>
    </row>
    <row r="94" spans="15:21" ht="22.5">
      <c r="O94" s="93" t="s">
        <v>76</v>
      </c>
      <c r="P94" s="4">
        <v>5</v>
      </c>
      <c r="Q94" s="4">
        <v>5</v>
      </c>
      <c r="R94" s="4">
        <v>2</v>
      </c>
      <c r="S94" s="4">
        <v>3</v>
      </c>
      <c r="T94" s="4">
        <v>0</v>
      </c>
      <c r="U94" s="11">
        <v>0</v>
      </c>
    </row>
    <row r="95" spans="15:21" ht="22.5">
      <c r="O95" s="93" t="s">
        <v>77</v>
      </c>
      <c r="P95" s="4">
        <v>63</v>
      </c>
      <c r="Q95" s="4">
        <v>62</v>
      </c>
      <c r="R95" s="4">
        <v>37</v>
      </c>
      <c r="S95" s="4">
        <v>28</v>
      </c>
      <c r="T95" s="4">
        <v>21</v>
      </c>
      <c r="U95" s="11">
        <v>0.75</v>
      </c>
    </row>
    <row r="96" spans="15:21">
      <c r="P96" s="5">
        <v>295163</v>
      </c>
      <c r="Q96" s="5">
        <v>282855</v>
      </c>
      <c r="R96" s="5">
        <v>86125</v>
      </c>
      <c r="S96" s="5">
        <v>65785</v>
      </c>
      <c r="T96" s="5">
        <v>42375</v>
      </c>
      <c r="U96" s="12">
        <v>0.64414380177852104</v>
      </c>
    </row>
    <row r="97" spans="16:21">
      <c r="P97" s="5">
        <v>295163</v>
      </c>
      <c r="Q97" s="5">
        <v>282855</v>
      </c>
      <c r="R97" s="5">
        <v>86125</v>
      </c>
      <c r="S97" s="5">
        <v>65785</v>
      </c>
      <c r="T97" s="5">
        <v>42375</v>
      </c>
      <c r="U97" s="12">
        <v>0.64414380177852104</v>
      </c>
    </row>
  </sheetData>
  <mergeCells count="9">
    <mergeCell ref="A1:M1"/>
    <mergeCell ref="L2:M2"/>
    <mergeCell ref="A3:A4"/>
    <mergeCell ref="B3:E3"/>
    <mergeCell ref="F3:H3"/>
    <mergeCell ref="I3:J3"/>
    <mergeCell ref="K3:K4"/>
    <mergeCell ref="L3:L4"/>
    <mergeCell ref="M3:M4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E46"/>
  <sheetViews>
    <sheetView workbookViewId="0">
      <selection activeCell="M5" sqref="M5"/>
    </sheetView>
  </sheetViews>
  <sheetFormatPr defaultRowHeight="16.5"/>
  <cols>
    <col min="1" max="3" width="9" style="1"/>
    <col min="4" max="4" width="12.625" style="1" bestFit="1" customWidth="1"/>
    <col min="5" max="9" width="9" style="1"/>
    <col min="10" max="10" width="7.5" style="1" customWidth="1"/>
    <col min="11" max="11" width="18.875" style="1" customWidth="1"/>
    <col min="12" max="31" width="9" style="15"/>
    <col min="32" max="16384" width="9" style="1"/>
  </cols>
  <sheetData>
    <row r="1" spans="1:11" ht="33.75">
      <c r="A1" s="524" t="s">
        <v>206</v>
      </c>
      <c r="B1" s="524"/>
      <c r="C1" s="524"/>
      <c r="D1" s="524"/>
      <c r="E1" s="524"/>
      <c r="F1" s="524"/>
      <c r="G1" s="524"/>
      <c r="H1" s="524"/>
      <c r="I1" s="524"/>
      <c r="J1" s="524"/>
      <c r="K1" s="524"/>
    </row>
    <row r="2" spans="1:11" s="15" customFormat="1" ht="15" customHeight="1" thickBot="1">
      <c r="A2" s="320"/>
      <c r="B2" s="320"/>
      <c r="C2" s="320"/>
      <c r="D2" s="320"/>
      <c r="E2" s="320"/>
      <c r="F2" s="320"/>
      <c r="G2" s="320"/>
      <c r="H2" s="320"/>
      <c r="I2" s="320"/>
      <c r="J2" s="320"/>
      <c r="K2" s="38" t="s">
        <v>117</v>
      </c>
    </row>
    <row r="3" spans="1:11" ht="19.5" customHeight="1">
      <c r="A3" s="530" t="s">
        <v>203</v>
      </c>
      <c r="B3" s="529" t="s">
        <v>210</v>
      </c>
      <c r="C3" s="529" t="s">
        <v>174</v>
      </c>
      <c r="D3" s="529"/>
      <c r="E3" s="529" t="s">
        <v>175</v>
      </c>
      <c r="F3" s="529" t="s">
        <v>176</v>
      </c>
      <c r="G3" s="529"/>
      <c r="H3" s="529"/>
      <c r="I3" s="529"/>
      <c r="J3" s="533" t="s">
        <v>256</v>
      </c>
      <c r="K3" s="360" t="s">
        <v>233</v>
      </c>
    </row>
    <row r="4" spans="1:11" ht="33">
      <c r="A4" s="531"/>
      <c r="B4" s="532"/>
      <c r="C4" s="321" t="s">
        <v>211</v>
      </c>
      <c r="D4" s="321" t="s">
        <v>212</v>
      </c>
      <c r="E4" s="532"/>
      <c r="F4" s="321" t="s">
        <v>177</v>
      </c>
      <c r="G4" s="321" t="s">
        <v>178</v>
      </c>
      <c r="H4" s="321" t="s">
        <v>213</v>
      </c>
      <c r="I4" s="321" t="s">
        <v>214</v>
      </c>
      <c r="J4" s="534"/>
      <c r="K4" s="361" t="s">
        <v>215</v>
      </c>
    </row>
    <row r="5" spans="1:11">
      <c r="A5" s="349" t="s">
        <v>216</v>
      </c>
      <c r="B5" s="323">
        <v>243</v>
      </c>
      <c r="C5" s="323">
        <v>74</v>
      </c>
      <c r="D5" s="325">
        <f>(C5/B5)*100</f>
        <v>30.452674897119341</v>
      </c>
      <c r="E5" s="323">
        <v>169</v>
      </c>
      <c r="F5" s="323">
        <v>60</v>
      </c>
      <c r="G5" s="323">
        <v>14</v>
      </c>
      <c r="H5" s="323" t="s">
        <v>179</v>
      </c>
      <c r="I5" s="322"/>
      <c r="J5" s="525" t="s">
        <v>217</v>
      </c>
      <c r="K5" s="350"/>
    </row>
    <row r="6" spans="1:11" ht="17.25" thickBot="1">
      <c r="A6" s="394" t="s">
        <v>218</v>
      </c>
      <c r="B6" s="395">
        <v>250</v>
      </c>
      <c r="C6" s="395">
        <v>7</v>
      </c>
      <c r="D6" s="396">
        <f t="shared" ref="D6:D46" si="0">(C6/B6)*100</f>
        <v>2.8000000000000003</v>
      </c>
      <c r="E6" s="395">
        <v>243</v>
      </c>
      <c r="F6" s="395">
        <v>7</v>
      </c>
      <c r="G6" s="395" t="s">
        <v>179</v>
      </c>
      <c r="H6" s="395" t="s">
        <v>179</v>
      </c>
      <c r="I6" s="397"/>
      <c r="J6" s="526"/>
      <c r="K6" s="398"/>
    </row>
    <row r="7" spans="1:11">
      <c r="A7" s="399" t="s">
        <v>219</v>
      </c>
      <c r="B7" s="400">
        <v>189</v>
      </c>
      <c r="C7" s="400">
        <v>79</v>
      </c>
      <c r="D7" s="401">
        <f t="shared" si="0"/>
        <v>41.798941798941797</v>
      </c>
      <c r="E7" s="400">
        <v>110</v>
      </c>
      <c r="F7" s="400">
        <v>77</v>
      </c>
      <c r="G7" s="400">
        <v>2</v>
      </c>
      <c r="H7" s="400" t="s">
        <v>179</v>
      </c>
      <c r="I7" s="402"/>
      <c r="J7" s="527" t="s">
        <v>220</v>
      </c>
      <c r="K7" s="403">
        <v>1000</v>
      </c>
    </row>
    <row r="8" spans="1:11">
      <c r="A8" s="353" t="s">
        <v>221</v>
      </c>
      <c r="B8" s="323">
        <v>250</v>
      </c>
      <c r="C8" s="323">
        <v>47</v>
      </c>
      <c r="D8" s="325">
        <f t="shared" si="0"/>
        <v>18.8</v>
      </c>
      <c r="E8" s="323">
        <v>203</v>
      </c>
      <c r="F8" s="323">
        <v>45</v>
      </c>
      <c r="G8" s="323">
        <v>2</v>
      </c>
      <c r="H8" s="323" t="s">
        <v>179</v>
      </c>
      <c r="I8" s="322"/>
      <c r="J8" s="525"/>
      <c r="K8" s="350"/>
    </row>
    <row r="9" spans="1:11">
      <c r="A9" s="353" t="s">
        <v>222</v>
      </c>
      <c r="B9" s="323">
        <v>250</v>
      </c>
      <c r="C9" s="323">
        <v>12</v>
      </c>
      <c r="D9" s="325">
        <f t="shared" si="0"/>
        <v>4.8</v>
      </c>
      <c r="E9" s="323">
        <v>238</v>
      </c>
      <c r="F9" s="323">
        <v>12</v>
      </c>
      <c r="G9" s="323" t="s">
        <v>179</v>
      </c>
      <c r="H9" s="323" t="s">
        <v>179</v>
      </c>
      <c r="I9" s="322"/>
      <c r="J9" s="525"/>
      <c r="K9" s="350"/>
    </row>
    <row r="10" spans="1:11">
      <c r="A10" s="353" t="s">
        <v>223</v>
      </c>
      <c r="B10" s="323">
        <v>250</v>
      </c>
      <c r="C10" s="323">
        <v>38</v>
      </c>
      <c r="D10" s="325">
        <f t="shared" si="0"/>
        <v>15.2</v>
      </c>
      <c r="E10" s="323">
        <v>212</v>
      </c>
      <c r="F10" s="323">
        <v>37</v>
      </c>
      <c r="G10" s="323">
        <v>1</v>
      </c>
      <c r="H10" s="323" t="s">
        <v>179</v>
      </c>
      <c r="I10" s="322"/>
      <c r="J10" s="525"/>
      <c r="K10" s="350"/>
    </row>
    <row r="11" spans="1:11">
      <c r="A11" s="353" t="s">
        <v>224</v>
      </c>
      <c r="B11" s="323">
        <v>246</v>
      </c>
      <c r="C11" s="323">
        <v>21</v>
      </c>
      <c r="D11" s="325">
        <f t="shared" si="0"/>
        <v>8.536585365853659</v>
      </c>
      <c r="E11" s="323">
        <v>225</v>
      </c>
      <c r="F11" s="323">
        <v>19</v>
      </c>
      <c r="G11" s="323">
        <v>2</v>
      </c>
      <c r="H11" s="323" t="s">
        <v>179</v>
      </c>
      <c r="I11" s="322"/>
      <c r="J11" s="525"/>
      <c r="K11" s="350"/>
    </row>
    <row r="12" spans="1:11">
      <c r="A12" s="351" t="s">
        <v>225</v>
      </c>
      <c r="B12" s="348">
        <v>250</v>
      </c>
      <c r="C12" s="348">
        <v>134</v>
      </c>
      <c r="D12" s="366">
        <f t="shared" si="0"/>
        <v>53.6</v>
      </c>
      <c r="E12" s="348">
        <v>116</v>
      </c>
      <c r="F12" s="348">
        <v>123</v>
      </c>
      <c r="G12" s="348">
        <v>8</v>
      </c>
      <c r="H12" s="348">
        <v>2</v>
      </c>
      <c r="I12" s="347">
        <v>1</v>
      </c>
      <c r="J12" s="525"/>
      <c r="K12" s="354">
        <v>1000</v>
      </c>
    </row>
    <row r="13" spans="1:11">
      <c r="A13" s="353" t="s">
        <v>226</v>
      </c>
      <c r="B13" s="323">
        <v>250</v>
      </c>
      <c r="C13" s="323">
        <v>89</v>
      </c>
      <c r="D13" s="325">
        <f t="shared" si="0"/>
        <v>35.6</v>
      </c>
      <c r="E13" s="323">
        <v>161</v>
      </c>
      <c r="F13" s="323">
        <v>88</v>
      </c>
      <c r="G13" s="323">
        <v>1</v>
      </c>
      <c r="H13" s="323" t="s">
        <v>227</v>
      </c>
      <c r="I13" s="322"/>
      <c r="J13" s="525"/>
      <c r="K13" s="350"/>
    </row>
    <row r="14" spans="1:11">
      <c r="A14" s="353" t="s">
        <v>228</v>
      </c>
      <c r="B14" s="323">
        <v>229</v>
      </c>
      <c r="C14" s="323">
        <v>63</v>
      </c>
      <c r="D14" s="325">
        <f t="shared" si="0"/>
        <v>27.510917030567683</v>
      </c>
      <c r="E14" s="323">
        <v>166</v>
      </c>
      <c r="F14" s="323">
        <v>61</v>
      </c>
      <c r="G14" s="323">
        <v>2</v>
      </c>
      <c r="H14" s="323" t="s">
        <v>179</v>
      </c>
      <c r="I14" s="322"/>
      <c r="J14" s="525"/>
      <c r="K14" s="350"/>
    </row>
    <row r="15" spans="1:11">
      <c r="A15" s="351" t="s">
        <v>229</v>
      </c>
      <c r="B15" s="348">
        <v>159</v>
      </c>
      <c r="C15" s="348">
        <v>89</v>
      </c>
      <c r="D15" s="366">
        <f t="shared" si="0"/>
        <v>55.974842767295598</v>
      </c>
      <c r="E15" s="348">
        <v>70</v>
      </c>
      <c r="F15" s="348">
        <v>89</v>
      </c>
      <c r="G15" s="348" t="s">
        <v>179</v>
      </c>
      <c r="H15" s="348" t="s">
        <v>179</v>
      </c>
      <c r="I15" s="347"/>
      <c r="J15" s="525"/>
      <c r="K15" s="352">
        <v>1000</v>
      </c>
    </row>
    <row r="16" spans="1:11" ht="17.25" thickBot="1">
      <c r="A16" s="404" t="s">
        <v>230</v>
      </c>
      <c r="B16" s="405">
        <v>250</v>
      </c>
      <c r="C16" s="405">
        <v>72</v>
      </c>
      <c r="D16" s="358">
        <f t="shared" si="0"/>
        <v>28.799999999999997</v>
      </c>
      <c r="E16" s="405">
        <v>178</v>
      </c>
      <c r="F16" s="405">
        <v>71</v>
      </c>
      <c r="G16" s="405">
        <v>1</v>
      </c>
      <c r="H16" s="405" t="s">
        <v>179</v>
      </c>
      <c r="I16" s="406"/>
      <c r="J16" s="528"/>
      <c r="K16" s="359"/>
    </row>
    <row r="17" spans="1:11">
      <c r="A17" s="399" t="s">
        <v>5</v>
      </c>
      <c r="B17" s="402">
        <v>250</v>
      </c>
      <c r="C17" s="402">
        <v>116</v>
      </c>
      <c r="D17" s="401">
        <f t="shared" si="0"/>
        <v>46.400000000000006</v>
      </c>
      <c r="E17" s="402">
        <v>134</v>
      </c>
      <c r="F17" s="402">
        <v>114</v>
      </c>
      <c r="G17" s="402">
        <v>1</v>
      </c>
      <c r="H17" s="402">
        <v>1</v>
      </c>
      <c r="I17" s="402" t="s">
        <v>180</v>
      </c>
      <c r="J17" s="527" t="s">
        <v>231</v>
      </c>
      <c r="K17" s="411">
        <v>1000</v>
      </c>
    </row>
    <row r="18" spans="1:11">
      <c r="A18" s="357" t="s">
        <v>7</v>
      </c>
      <c r="B18" s="348">
        <v>230</v>
      </c>
      <c r="C18" s="347">
        <v>115</v>
      </c>
      <c r="D18" s="366">
        <f t="shared" si="0"/>
        <v>50</v>
      </c>
      <c r="E18" s="348">
        <v>115</v>
      </c>
      <c r="F18" s="347">
        <v>87</v>
      </c>
      <c r="G18" s="347">
        <v>22</v>
      </c>
      <c r="H18" s="347">
        <v>5</v>
      </c>
      <c r="I18" s="347">
        <v>1</v>
      </c>
      <c r="J18" s="525"/>
      <c r="K18" s="355">
        <v>1000</v>
      </c>
    </row>
    <row r="19" spans="1:11">
      <c r="A19" s="351" t="s">
        <v>38</v>
      </c>
      <c r="B19" s="347">
        <v>250</v>
      </c>
      <c r="C19" s="347">
        <v>112</v>
      </c>
      <c r="D19" s="366">
        <f t="shared" si="0"/>
        <v>44.800000000000004</v>
      </c>
      <c r="E19" s="347">
        <v>138</v>
      </c>
      <c r="F19" s="347">
        <v>90</v>
      </c>
      <c r="G19" s="347">
        <v>20</v>
      </c>
      <c r="H19" s="347">
        <v>2</v>
      </c>
      <c r="I19" s="347" t="s">
        <v>180</v>
      </c>
      <c r="J19" s="525"/>
      <c r="K19" s="355">
        <v>700</v>
      </c>
    </row>
    <row r="20" spans="1:11">
      <c r="A20" s="351" t="s">
        <v>181</v>
      </c>
      <c r="B20" s="347">
        <v>233</v>
      </c>
      <c r="C20" s="347">
        <v>103</v>
      </c>
      <c r="D20" s="366">
        <f t="shared" si="0"/>
        <v>44.206008583690988</v>
      </c>
      <c r="E20" s="347">
        <v>130</v>
      </c>
      <c r="F20" s="347">
        <v>97</v>
      </c>
      <c r="G20" s="347">
        <v>5</v>
      </c>
      <c r="H20" s="347">
        <v>1</v>
      </c>
      <c r="I20" s="347" t="s">
        <v>180</v>
      </c>
      <c r="J20" s="525"/>
      <c r="K20" s="355">
        <v>1000</v>
      </c>
    </row>
    <row r="21" spans="1:11">
      <c r="A21" s="356" t="s">
        <v>21</v>
      </c>
      <c r="B21" s="323">
        <v>250</v>
      </c>
      <c r="C21" s="322">
        <v>99</v>
      </c>
      <c r="D21" s="325">
        <f t="shared" si="0"/>
        <v>39.6</v>
      </c>
      <c r="E21" s="323">
        <v>151</v>
      </c>
      <c r="F21" s="322">
        <v>99</v>
      </c>
      <c r="G21" s="322" t="s">
        <v>180</v>
      </c>
      <c r="H21" s="322" t="s">
        <v>180</v>
      </c>
      <c r="I21" s="322" t="s">
        <v>180</v>
      </c>
      <c r="J21" s="525"/>
      <c r="K21" s="350"/>
    </row>
    <row r="22" spans="1:11">
      <c r="A22" s="351" t="s">
        <v>41</v>
      </c>
      <c r="B22" s="347">
        <v>125</v>
      </c>
      <c r="C22" s="347">
        <v>93</v>
      </c>
      <c r="D22" s="366">
        <f t="shared" si="0"/>
        <v>74.400000000000006</v>
      </c>
      <c r="E22" s="347">
        <v>32</v>
      </c>
      <c r="F22" s="347">
        <v>70</v>
      </c>
      <c r="G22" s="347">
        <v>23</v>
      </c>
      <c r="H22" s="347" t="s">
        <v>180</v>
      </c>
      <c r="I22" s="347" t="s">
        <v>180</v>
      </c>
      <c r="J22" s="525"/>
      <c r="K22" s="355">
        <v>700</v>
      </c>
    </row>
    <row r="23" spans="1:11">
      <c r="A23" s="357" t="s">
        <v>23</v>
      </c>
      <c r="B23" s="348">
        <v>158</v>
      </c>
      <c r="C23" s="347">
        <v>93</v>
      </c>
      <c r="D23" s="366">
        <f t="shared" si="0"/>
        <v>58.860759493670891</v>
      </c>
      <c r="E23" s="348">
        <v>65</v>
      </c>
      <c r="F23" s="347">
        <v>90</v>
      </c>
      <c r="G23" s="347">
        <v>2</v>
      </c>
      <c r="H23" s="347">
        <v>1</v>
      </c>
      <c r="I23" s="347"/>
      <c r="J23" s="525"/>
      <c r="K23" s="355">
        <v>1000</v>
      </c>
    </row>
    <row r="24" spans="1:11">
      <c r="A24" s="356" t="s">
        <v>20</v>
      </c>
      <c r="B24" s="323">
        <v>250</v>
      </c>
      <c r="C24" s="322">
        <v>92</v>
      </c>
      <c r="D24" s="325">
        <f t="shared" si="0"/>
        <v>36.799999999999997</v>
      </c>
      <c r="E24" s="323">
        <v>158</v>
      </c>
      <c r="F24" s="322">
        <v>54</v>
      </c>
      <c r="G24" s="322">
        <v>37</v>
      </c>
      <c r="H24" s="322">
        <v>1</v>
      </c>
      <c r="I24" s="322" t="s">
        <v>180</v>
      </c>
      <c r="J24" s="525"/>
      <c r="K24" s="350"/>
    </row>
    <row r="25" spans="1:11">
      <c r="A25" s="353" t="s">
        <v>28</v>
      </c>
      <c r="B25" s="322">
        <v>233</v>
      </c>
      <c r="C25" s="322">
        <v>89</v>
      </c>
      <c r="D25" s="325">
        <f t="shared" si="0"/>
        <v>38.197424892703864</v>
      </c>
      <c r="E25" s="322">
        <v>144</v>
      </c>
      <c r="F25" s="322">
        <v>79</v>
      </c>
      <c r="G25" s="322">
        <v>10</v>
      </c>
      <c r="H25" s="322"/>
      <c r="I25" s="322"/>
      <c r="J25" s="525"/>
      <c r="K25" s="350"/>
    </row>
    <row r="26" spans="1:11">
      <c r="A26" s="353" t="s">
        <v>182</v>
      </c>
      <c r="B26" s="322">
        <v>226</v>
      </c>
      <c r="C26" s="322">
        <v>84</v>
      </c>
      <c r="D26" s="325">
        <f t="shared" si="0"/>
        <v>37.168141592920357</v>
      </c>
      <c r="E26" s="322">
        <v>142</v>
      </c>
      <c r="F26" s="322">
        <v>80</v>
      </c>
      <c r="G26" s="322">
        <v>4</v>
      </c>
      <c r="H26" s="322" t="s">
        <v>180</v>
      </c>
      <c r="I26" s="322" t="s">
        <v>180</v>
      </c>
      <c r="J26" s="525"/>
      <c r="K26" s="350"/>
    </row>
    <row r="27" spans="1:11">
      <c r="A27" s="353" t="s">
        <v>6</v>
      </c>
      <c r="B27" s="322">
        <v>225</v>
      </c>
      <c r="C27" s="322">
        <v>81</v>
      </c>
      <c r="D27" s="325">
        <f t="shared" si="0"/>
        <v>36</v>
      </c>
      <c r="E27" s="322">
        <v>144</v>
      </c>
      <c r="F27" s="322">
        <v>78</v>
      </c>
      <c r="G27" s="322">
        <v>3</v>
      </c>
      <c r="H27" s="322"/>
      <c r="I27" s="322" t="s">
        <v>180</v>
      </c>
      <c r="J27" s="525"/>
      <c r="K27" s="350"/>
    </row>
    <row r="28" spans="1:11">
      <c r="A28" s="353" t="s">
        <v>26</v>
      </c>
      <c r="B28" s="322">
        <v>250</v>
      </c>
      <c r="C28" s="322">
        <v>79</v>
      </c>
      <c r="D28" s="325">
        <f t="shared" si="0"/>
        <v>31.6</v>
      </c>
      <c r="E28" s="322">
        <v>171</v>
      </c>
      <c r="F28" s="322">
        <v>69</v>
      </c>
      <c r="G28" s="322">
        <v>10</v>
      </c>
      <c r="H28" s="322" t="s">
        <v>180</v>
      </c>
      <c r="I28" s="322"/>
      <c r="J28" s="525"/>
      <c r="K28" s="350"/>
    </row>
    <row r="29" spans="1:11">
      <c r="A29" s="351" t="s">
        <v>31</v>
      </c>
      <c r="B29" s="347">
        <v>125</v>
      </c>
      <c r="C29" s="347">
        <v>79</v>
      </c>
      <c r="D29" s="366">
        <f t="shared" si="0"/>
        <v>63.2</v>
      </c>
      <c r="E29" s="347">
        <v>46</v>
      </c>
      <c r="F29" s="347">
        <v>74</v>
      </c>
      <c r="G29" s="347">
        <v>5</v>
      </c>
      <c r="H29" s="347"/>
      <c r="I29" s="347"/>
      <c r="J29" s="525"/>
      <c r="K29" s="352">
        <v>700</v>
      </c>
    </row>
    <row r="30" spans="1:11">
      <c r="A30" s="353" t="s">
        <v>183</v>
      </c>
      <c r="B30" s="322">
        <v>224</v>
      </c>
      <c r="C30" s="322">
        <v>78</v>
      </c>
      <c r="D30" s="325">
        <f t="shared" si="0"/>
        <v>34.821428571428569</v>
      </c>
      <c r="E30" s="322">
        <v>146</v>
      </c>
      <c r="F30" s="322">
        <v>77</v>
      </c>
      <c r="G30" s="322">
        <v>1</v>
      </c>
      <c r="H30" s="322" t="s">
        <v>180</v>
      </c>
      <c r="I30" s="322" t="s">
        <v>180</v>
      </c>
      <c r="J30" s="525"/>
      <c r="K30" s="350"/>
    </row>
    <row r="31" spans="1:11">
      <c r="A31" s="356" t="s">
        <v>22</v>
      </c>
      <c r="B31" s="323">
        <v>229</v>
      </c>
      <c r="C31" s="322">
        <v>78</v>
      </c>
      <c r="D31" s="325">
        <f t="shared" si="0"/>
        <v>34.061135371179041</v>
      </c>
      <c r="E31" s="323">
        <v>151</v>
      </c>
      <c r="F31" s="322">
        <v>75</v>
      </c>
      <c r="G31" s="322">
        <v>3</v>
      </c>
      <c r="H31" s="322"/>
      <c r="I31" s="322"/>
      <c r="J31" s="525"/>
      <c r="K31" s="350"/>
    </row>
    <row r="32" spans="1:11">
      <c r="A32" s="356" t="s">
        <v>13</v>
      </c>
      <c r="B32" s="323">
        <v>218</v>
      </c>
      <c r="C32" s="322">
        <v>77</v>
      </c>
      <c r="D32" s="325">
        <f t="shared" si="0"/>
        <v>35.321100917431195</v>
      </c>
      <c r="E32" s="323">
        <v>141</v>
      </c>
      <c r="F32" s="322">
        <v>77</v>
      </c>
      <c r="G32" s="322" t="s">
        <v>180</v>
      </c>
      <c r="H32" s="322" t="s">
        <v>180</v>
      </c>
      <c r="I32" s="322" t="s">
        <v>180</v>
      </c>
      <c r="J32" s="525"/>
      <c r="K32" s="350"/>
    </row>
    <row r="33" spans="1:11">
      <c r="A33" s="356" t="s">
        <v>19</v>
      </c>
      <c r="B33" s="323">
        <v>250</v>
      </c>
      <c r="C33" s="322">
        <v>69</v>
      </c>
      <c r="D33" s="325">
        <f t="shared" si="0"/>
        <v>27.6</v>
      </c>
      <c r="E33" s="323">
        <v>181</v>
      </c>
      <c r="F33" s="322">
        <v>64</v>
      </c>
      <c r="G33" s="322">
        <v>2</v>
      </c>
      <c r="H33" s="322">
        <v>3</v>
      </c>
      <c r="I33" s="322" t="s">
        <v>180</v>
      </c>
      <c r="J33" s="525"/>
      <c r="K33" s="350"/>
    </row>
    <row r="34" spans="1:11">
      <c r="A34" s="353" t="s">
        <v>184</v>
      </c>
      <c r="B34" s="322">
        <v>178</v>
      </c>
      <c r="C34" s="322">
        <v>64</v>
      </c>
      <c r="D34" s="325">
        <f t="shared" si="0"/>
        <v>35.955056179775283</v>
      </c>
      <c r="E34" s="322">
        <v>114</v>
      </c>
      <c r="F34" s="322">
        <v>63</v>
      </c>
      <c r="G34" s="322">
        <v>1</v>
      </c>
      <c r="H34" s="322" t="s">
        <v>180</v>
      </c>
      <c r="I34" s="322" t="s">
        <v>180</v>
      </c>
      <c r="J34" s="525"/>
      <c r="K34" s="350"/>
    </row>
    <row r="35" spans="1:11">
      <c r="A35" s="353" t="s">
        <v>29</v>
      </c>
      <c r="B35" s="322">
        <v>244</v>
      </c>
      <c r="C35" s="322">
        <v>64</v>
      </c>
      <c r="D35" s="325">
        <f t="shared" si="0"/>
        <v>26.229508196721312</v>
      </c>
      <c r="E35" s="322">
        <v>180</v>
      </c>
      <c r="F35" s="322">
        <v>62</v>
      </c>
      <c r="G35" s="322">
        <v>1</v>
      </c>
      <c r="H35" s="322">
        <v>1</v>
      </c>
      <c r="I35" s="322"/>
      <c r="J35" s="525"/>
      <c r="K35" s="350"/>
    </row>
    <row r="36" spans="1:11">
      <c r="A36" s="353" t="s">
        <v>36</v>
      </c>
      <c r="B36" s="322">
        <v>179</v>
      </c>
      <c r="C36" s="322">
        <v>64</v>
      </c>
      <c r="D36" s="325">
        <f t="shared" si="0"/>
        <v>35.754189944134076</v>
      </c>
      <c r="E36" s="322">
        <v>115</v>
      </c>
      <c r="F36" s="322">
        <v>64</v>
      </c>
      <c r="G36" s="322" t="s">
        <v>180</v>
      </c>
      <c r="H36" s="322"/>
      <c r="I36" s="322"/>
      <c r="J36" s="525"/>
      <c r="K36" s="350"/>
    </row>
    <row r="37" spans="1:11">
      <c r="A37" s="351" t="s">
        <v>30</v>
      </c>
      <c r="B37" s="347">
        <v>154</v>
      </c>
      <c r="C37" s="347">
        <v>63</v>
      </c>
      <c r="D37" s="366">
        <f t="shared" si="0"/>
        <v>40.909090909090914</v>
      </c>
      <c r="E37" s="347">
        <v>91</v>
      </c>
      <c r="F37" s="347">
        <v>63</v>
      </c>
      <c r="G37" s="347" t="s">
        <v>180</v>
      </c>
      <c r="H37" s="347" t="s">
        <v>180</v>
      </c>
      <c r="I37" s="347"/>
      <c r="J37" s="525"/>
      <c r="K37" s="352">
        <v>700</v>
      </c>
    </row>
    <row r="38" spans="1:11">
      <c r="A38" s="356" t="s">
        <v>24</v>
      </c>
      <c r="B38" s="323">
        <v>250</v>
      </c>
      <c r="C38" s="322">
        <v>63</v>
      </c>
      <c r="D38" s="325">
        <f t="shared" si="0"/>
        <v>25.2</v>
      </c>
      <c r="E38" s="323">
        <v>187</v>
      </c>
      <c r="F38" s="322">
        <v>63</v>
      </c>
      <c r="G38" s="322" t="s">
        <v>180</v>
      </c>
      <c r="H38" s="322" t="s">
        <v>180</v>
      </c>
      <c r="I38" s="322" t="s">
        <v>180</v>
      </c>
      <c r="J38" s="525"/>
      <c r="K38" s="350"/>
    </row>
    <row r="39" spans="1:11">
      <c r="A39" s="353" t="s">
        <v>32</v>
      </c>
      <c r="B39" s="322">
        <v>159</v>
      </c>
      <c r="C39" s="322">
        <v>60</v>
      </c>
      <c r="D39" s="325">
        <f t="shared" si="0"/>
        <v>37.735849056603776</v>
      </c>
      <c r="E39" s="322">
        <v>99</v>
      </c>
      <c r="F39" s="322">
        <v>60</v>
      </c>
      <c r="G39" s="322" t="s">
        <v>180</v>
      </c>
      <c r="H39" s="322"/>
      <c r="I39" s="322"/>
      <c r="J39" s="525"/>
      <c r="K39" s="350"/>
    </row>
    <row r="40" spans="1:11">
      <c r="A40" s="353" t="s">
        <v>39</v>
      </c>
      <c r="B40" s="322">
        <v>138</v>
      </c>
      <c r="C40" s="322">
        <v>53</v>
      </c>
      <c r="D40" s="325">
        <f t="shared" si="0"/>
        <v>38.405797101449274</v>
      </c>
      <c r="E40" s="322">
        <v>85</v>
      </c>
      <c r="F40" s="322">
        <v>46</v>
      </c>
      <c r="G40" s="322">
        <v>6</v>
      </c>
      <c r="H40" s="322">
        <v>1</v>
      </c>
      <c r="I40" s="322" t="s">
        <v>180</v>
      </c>
      <c r="J40" s="525"/>
      <c r="K40" s="350"/>
    </row>
    <row r="41" spans="1:11">
      <c r="A41" s="353" t="s">
        <v>185</v>
      </c>
      <c r="B41" s="322">
        <v>190</v>
      </c>
      <c r="C41" s="322">
        <v>51</v>
      </c>
      <c r="D41" s="325">
        <f t="shared" si="0"/>
        <v>26.842105263157894</v>
      </c>
      <c r="E41" s="322">
        <v>139</v>
      </c>
      <c r="F41" s="322">
        <v>51</v>
      </c>
      <c r="G41" s="322"/>
      <c r="H41" s="322" t="s">
        <v>180</v>
      </c>
      <c r="I41" s="322" t="s">
        <v>180</v>
      </c>
      <c r="J41" s="525"/>
      <c r="K41" s="350"/>
    </row>
    <row r="42" spans="1:11">
      <c r="A42" s="353" t="s">
        <v>34</v>
      </c>
      <c r="B42" s="322">
        <v>223</v>
      </c>
      <c r="C42" s="322">
        <v>51</v>
      </c>
      <c r="D42" s="325">
        <f t="shared" si="0"/>
        <v>22.869955156950674</v>
      </c>
      <c r="E42" s="322">
        <v>172</v>
      </c>
      <c r="F42" s="322">
        <v>51</v>
      </c>
      <c r="G42" s="322" t="s">
        <v>180</v>
      </c>
      <c r="H42" s="322"/>
      <c r="I42" s="322"/>
      <c r="J42" s="525"/>
      <c r="K42" s="350"/>
    </row>
    <row r="43" spans="1:11">
      <c r="A43" s="353" t="s">
        <v>40</v>
      </c>
      <c r="B43" s="322">
        <v>113</v>
      </c>
      <c r="C43" s="322">
        <v>43</v>
      </c>
      <c r="D43" s="325">
        <f t="shared" si="0"/>
        <v>38.053097345132741</v>
      </c>
      <c r="E43" s="322">
        <v>70</v>
      </c>
      <c r="F43" s="322">
        <v>43</v>
      </c>
      <c r="G43" s="322" t="s">
        <v>180</v>
      </c>
      <c r="H43" s="322" t="s">
        <v>180</v>
      </c>
      <c r="I43" s="322" t="s">
        <v>180</v>
      </c>
      <c r="J43" s="525"/>
      <c r="K43" s="350"/>
    </row>
    <row r="44" spans="1:11">
      <c r="A44" s="353" t="s">
        <v>35</v>
      </c>
      <c r="B44" s="322">
        <v>122</v>
      </c>
      <c r="C44" s="322">
        <v>37</v>
      </c>
      <c r="D44" s="325">
        <f t="shared" si="0"/>
        <v>30.327868852459016</v>
      </c>
      <c r="E44" s="322">
        <v>85</v>
      </c>
      <c r="F44" s="322">
        <v>36</v>
      </c>
      <c r="G44" s="322">
        <v>1</v>
      </c>
      <c r="H44" s="322"/>
      <c r="I44" s="322"/>
      <c r="J44" s="525"/>
      <c r="K44" s="350"/>
    </row>
    <row r="45" spans="1:11" ht="17.25" thickBot="1">
      <c r="A45" s="404" t="s">
        <v>33</v>
      </c>
      <c r="B45" s="406">
        <v>185</v>
      </c>
      <c r="C45" s="406">
        <v>25</v>
      </c>
      <c r="D45" s="358">
        <f t="shared" si="0"/>
        <v>13.513513513513514</v>
      </c>
      <c r="E45" s="406">
        <v>160</v>
      </c>
      <c r="F45" s="406">
        <v>23</v>
      </c>
      <c r="G45" s="406">
        <v>2</v>
      </c>
      <c r="H45" s="406"/>
      <c r="I45" s="406"/>
      <c r="J45" s="528"/>
      <c r="K45" s="359"/>
    </row>
    <row r="46" spans="1:11" ht="17.25" thickBot="1">
      <c r="A46" s="407" t="s">
        <v>232</v>
      </c>
      <c r="B46" s="408">
        <f>SUM(B5:B45)</f>
        <v>8677</v>
      </c>
      <c r="C46" s="408">
        <f t="shared" ref="C46:I46" si="1">SUM(C5:C45)</f>
        <v>2900</v>
      </c>
      <c r="D46" s="409">
        <f t="shared" si="0"/>
        <v>33.421689524029041</v>
      </c>
      <c r="E46" s="408">
        <f t="shared" si="1"/>
        <v>5777</v>
      </c>
      <c r="F46" s="408">
        <f t="shared" si="1"/>
        <v>2688</v>
      </c>
      <c r="G46" s="408">
        <f t="shared" si="1"/>
        <v>192</v>
      </c>
      <c r="H46" s="408">
        <f t="shared" si="1"/>
        <v>18</v>
      </c>
      <c r="I46" s="408">
        <f t="shared" si="1"/>
        <v>2</v>
      </c>
      <c r="J46" s="408"/>
      <c r="K46" s="410">
        <f>SUM(K5:K45)</f>
        <v>9800</v>
      </c>
    </row>
  </sheetData>
  <mergeCells count="10">
    <mergeCell ref="A1:K1"/>
    <mergeCell ref="J5:J6"/>
    <mergeCell ref="J7:J16"/>
    <mergeCell ref="J17:J45"/>
    <mergeCell ref="C3:D3"/>
    <mergeCell ref="A3:A4"/>
    <mergeCell ref="B3:B4"/>
    <mergeCell ref="E3:E4"/>
    <mergeCell ref="F3:I3"/>
    <mergeCell ref="J3:J4"/>
  </mergeCells>
  <phoneticPr fontId="2" type="noConversion"/>
  <pageMargins left="0.31496062992125984" right="0.27559055118110237" top="0.74803149606299213" bottom="0.74803149606299213" header="0.31496062992125984" footer="0.31496062992125984"/>
  <pageSetup paperSize="9" scale="8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Q58"/>
  <sheetViews>
    <sheetView workbookViewId="0">
      <selection activeCell="A44" sqref="A44"/>
    </sheetView>
  </sheetViews>
  <sheetFormatPr defaultRowHeight="16.5"/>
  <cols>
    <col min="1" max="1" width="18.75" style="1" customWidth="1"/>
    <col min="2" max="2" width="15.875" style="1" customWidth="1"/>
    <col min="3" max="3" width="17.125" style="1" customWidth="1"/>
    <col min="4" max="5" width="15.875" style="1" customWidth="1"/>
    <col min="6" max="6" width="11.5" style="1" customWidth="1"/>
    <col min="7" max="7" width="13" style="1" customWidth="1"/>
    <col min="8" max="8" width="13" style="15" customWidth="1"/>
    <col min="9" max="17" width="9" style="15"/>
    <col min="18" max="16384" width="9" style="1"/>
  </cols>
  <sheetData>
    <row r="1" spans="1:8" ht="33.75">
      <c r="A1" s="444" t="s">
        <v>244</v>
      </c>
      <c r="B1" s="444"/>
      <c r="C1" s="444"/>
      <c r="D1" s="444"/>
      <c r="E1" s="444"/>
      <c r="F1" s="444"/>
      <c r="G1" s="444"/>
      <c r="H1" s="444"/>
    </row>
    <row r="2" spans="1:8" ht="15.75" customHeight="1" thickBot="1">
      <c r="A2" s="42"/>
      <c r="B2" s="42"/>
      <c r="C2" s="42"/>
      <c r="D2" s="42"/>
      <c r="E2" s="42"/>
      <c r="F2" s="552" t="s">
        <v>193</v>
      </c>
      <c r="G2" s="552"/>
      <c r="H2" s="552"/>
    </row>
    <row r="3" spans="1:8" ht="42.75" customHeight="1">
      <c r="A3" s="563" t="s">
        <v>247</v>
      </c>
      <c r="B3" s="319" t="s">
        <v>238</v>
      </c>
      <c r="C3" s="319" t="s">
        <v>239</v>
      </c>
      <c r="D3" s="319" t="s">
        <v>240</v>
      </c>
      <c r="E3" s="319" t="s">
        <v>241</v>
      </c>
      <c r="F3" s="561" t="s">
        <v>188</v>
      </c>
      <c r="G3" s="555" t="s">
        <v>242</v>
      </c>
      <c r="H3" s="555" t="s">
        <v>243</v>
      </c>
    </row>
    <row r="4" spans="1:8" ht="45" customHeight="1">
      <c r="A4" s="564"/>
      <c r="B4" s="16" t="s">
        <v>194</v>
      </c>
      <c r="C4" s="16" t="s">
        <v>124</v>
      </c>
      <c r="D4" s="16" t="s">
        <v>191</v>
      </c>
      <c r="E4" s="16" t="s">
        <v>189</v>
      </c>
      <c r="F4" s="562"/>
      <c r="G4" s="556"/>
      <c r="H4" s="556"/>
    </row>
    <row r="5" spans="1:8" s="15" customFormat="1" ht="17.25">
      <c r="A5" s="338" t="s">
        <v>248</v>
      </c>
      <c r="B5" s="339">
        <v>0.51118599374461471</v>
      </c>
      <c r="C5" s="339">
        <v>2.4862524295110067</v>
      </c>
      <c r="D5" s="339">
        <v>1.7841794158191333</v>
      </c>
      <c r="E5" s="339">
        <v>1.2374899719429746</v>
      </c>
      <c r="F5" s="339">
        <v>6.0191078110177294</v>
      </c>
      <c r="G5" s="372">
        <v>7804.314996687478</v>
      </c>
      <c r="H5" s="372">
        <v>2189</v>
      </c>
    </row>
    <row r="6" spans="1:8" s="15" customFormat="1">
      <c r="A6" s="337" t="s">
        <v>190</v>
      </c>
      <c r="B6" s="340">
        <v>8.3000000000000007</v>
      </c>
      <c r="C6" s="340">
        <v>41.7</v>
      </c>
      <c r="D6" s="340">
        <v>30</v>
      </c>
      <c r="E6" s="340">
        <v>20</v>
      </c>
      <c r="F6" s="340">
        <f>SUM(B6:E6)</f>
        <v>100</v>
      </c>
      <c r="G6" s="340"/>
      <c r="H6" s="340"/>
    </row>
    <row r="7" spans="1:8" s="15" customFormat="1">
      <c r="A7" s="376" t="s">
        <v>245</v>
      </c>
      <c r="B7" s="344">
        <f>ROUND($G$5*B6%,0)</f>
        <v>648</v>
      </c>
      <c r="C7" s="344">
        <f t="shared" ref="C7:E7" si="0">ROUND($G$5*C6%,0)</f>
        <v>3254</v>
      </c>
      <c r="D7" s="344">
        <f t="shared" si="0"/>
        <v>2341</v>
      </c>
      <c r="E7" s="344">
        <f t="shared" si="0"/>
        <v>1561</v>
      </c>
      <c r="F7" s="374"/>
      <c r="G7" s="375"/>
      <c r="H7" s="373">
        <f>ROUND($G$5*F6%,0)</f>
        <v>7804</v>
      </c>
    </row>
    <row r="8" spans="1:8" s="15" customFormat="1">
      <c r="A8" s="342" t="s">
        <v>246</v>
      </c>
      <c r="B8" s="343">
        <f>ROUND($H$5*B6%,0)</f>
        <v>182</v>
      </c>
      <c r="C8" s="343">
        <f>ROUND($H$5*C6%,0)-1</f>
        <v>912</v>
      </c>
      <c r="D8" s="343">
        <f t="shared" ref="D8:E8" si="1">ROUND($H$5*D6%,0)</f>
        <v>657</v>
      </c>
      <c r="E8" s="343">
        <f t="shared" si="1"/>
        <v>438</v>
      </c>
      <c r="F8" s="383"/>
      <c r="G8" s="384"/>
      <c r="H8" s="385">
        <f>ROUND($H$5*F6%,0)</f>
        <v>2189</v>
      </c>
    </row>
    <row r="9" spans="1:8" s="15" customFormat="1">
      <c r="B9" s="329"/>
      <c r="C9" s="329"/>
      <c r="D9" s="329"/>
      <c r="E9" s="329"/>
      <c r="F9" s="329"/>
    </row>
    <row r="10" spans="1:8" s="15" customFormat="1" ht="17.25" thickBot="1">
      <c r="B10" s="329"/>
      <c r="C10" s="329"/>
      <c r="D10" s="329"/>
      <c r="E10" s="329"/>
      <c r="F10" s="329"/>
    </row>
    <row r="11" spans="1:8" s="15" customFormat="1">
      <c r="A11" s="553" t="s">
        <v>195</v>
      </c>
      <c r="B11" s="559" t="s">
        <v>196</v>
      </c>
      <c r="C11" s="559"/>
      <c r="D11" s="559"/>
      <c r="E11" s="560"/>
    </row>
    <row r="12" spans="1:8" s="15" customFormat="1">
      <c r="A12" s="554"/>
      <c r="B12" s="379" t="s">
        <v>197</v>
      </c>
      <c r="C12" s="379" t="s">
        <v>198</v>
      </c>
      <c r="D12" s="379" t="s">
        <v>199</v>
      </c>
      <c r="E12" s="380" t="s">
        <v>202</v>
      </c>
    </row>
    <row r="13" spans="1:8">
      <c r="A13" s="368" t="s">
        <v>187</v>
      </c>
      <c r="B13" s="19">
        <v>253766</v>
      </c>
      <c r="C13" s="324">
        <v>53.6</v>
      </c>
      <c r="D13" s="20">
        <f>ROUND($B$7*C13%,0)</f>
        <v>347</v>
      </c>
      <c r="E13" s="21">
        <f>ROUND($B$8*C13%,0)</f>
        <v>98</v>
      </c>
      <c r="F13" s="15"/>
      <c r="G13" s="15"/>
    </row>
    <row r="14" spans="1:8">
      <c r="A14" s="368" t="s">
        <v>85</v>
      </c>
      <c r="B14" s="19">
        <v>220014</v>
      </c>
      <c r="C14" s="324">
        <v>46.4</v>
      </c>
      <c r="D14" s="20">
        <f>ROUND($B$7*C14%,0)</f>
        <v>301</v>
      </c>
      <c r="E14" s="21">
        <f>ROUND($B$8*C14%,0)</f>
        <v>84</v>
      </c>
      <c r="F14" s="15"/>
      <c r="G14" s="15"/>
    </row>
    <row r="15" spans="1:8" ht="17.25" thickBot="1">
      <c r="A15" s="537" t="s">
        <v>192</v>
      </c>
      <c r="B15" s="538"/>
      <c r="C15" s="538"/>
      <c r="D15" s="369">
        <f>SUM(D13:D14)</f>
        <v>648</v>
      </c>
      <c r="E15" s="370">
        <f>SUM(E13:E14)</f>
        <v>182</v>
      </c>
      <c r="F15" s="15"/>
      <c r="G15" s="15"/>
    </row>
    <row r="16" spans="1:8" s="15" customFormat="1"/>
    <row r="17" spans="1:7" s="15" customFormat="1" ht="17.25" thickBot="1"/>
    <row r="18" spans="1:7">
      <c r="A18" s="557" t="s">
        <v>195</v>
      </c>
      <c r="B18" s="547" t="s">
        <v>200</v>
      </c>
      <c r="C18" s="547"/>
      <c r="D18" s="547"/>
      <c r="E18" s="548"/>
      <c r="F18" s="15"/>
      <c r="G18" s="15"/>
    </row>
    <row r="19" spans="1:7">
      <c r="A19" s="558"/>
      <c r="B19" s="377" t="s">
        <v>197</v>
      </c>
      <c r="C19" s="377" t="s">
        <v>198</v>
      </c>
      <c r="D19" s="377" t="s">
        <v>199</v>
      </c>
      <c r="E19" s="378" t="s">
        <v>202</v>
      </c>
      <c r="F19" s="15"/>
      <c r="G19" s="15"/>
    </row>
    <row r="20" spans="1:7">
      <c r="A20" s="368" t="s">
        <v>187</v>
      </c>
      <c r="B20" s="19">
        <v>67991</v>
      </c>
      <c r="C20" s="324">
        <v>54.3</v>
      </c>
      <c r="D20" s="20">
        <f>ROUND($C$7*C20%,0)</f>
        <v>1767</v>
      </c>
      <c r="E20" s="21">
        <f>ROUND($C$8*C20%,0)</f>
        <v>495</v>
      </c>
      <c r="F20" s="15"/>
      <c r="G20" s="15"/>
    </row>
    <row r="21" spans="1:7">
      <c r="A21" s="368" t="s">
        <v>85</v>
      </c>
      <c r="B21" s="19">
        <v>57335</v>
      </c>
      <c r="C21" s="324">
        <v>45.7</v>
      </c>
      <c r="D21" s="20">
        <f>ROUND($C$7*C21%,0)</f>
        <v>1487</v>
      </c>
      <c r="E21" s="21">
        <f>ROUND($C$8*C21%,0)</f>
        <v>417</v>
      </c>
      <c r="F21" s="15"/>
      <c r="G21" s="15"/>
    </row>
    <row r="22" spans="1:7" ht="17.25" thickBot="1">
      <c r="A22" s="537" t="s">
        <v>192</v>
      </c>
      <c r="B22" s="538"/>
      <c r="C22" s="538"/>
      <c r="D22" s="369">
        <f>SUM(D20:D21)</f>
        <v>3254</v>
      </c>
      <c r="E22" s="370">
        <f>SUM(E20:E21)</f>
        <v>912</v>
      </c>
      <c r="F22" s="15"/>
      <c r="G22" s="15"/>
    </row>
    <row r="23" spans="1:7" s="15" customFormat="1"/>
    <row r="24" spans="1:7" s="15" customFormat="1" ht="17.25" thickBot="1"/>
    <row r="25" spans="1:7">
      <c r="A25" s="545" t="s">
        <v>195</v>
      </c>
      <c r="B25" s="549" t="s">
        <v>201</v>
      </c>
      <c r="C25" s="550"/>
      <c r="D25" s="550"/>
      <c r="E25" s="551"/>
      <c r="F25" s="15"/>
      <c r="G25" s="15"/>
    </row>
    <row r="26" spans="1:7">
      <c r="A26" s="546"/>
      <c r="B26" s="381" t="s">
        <v>197</v>
      </c>
      <c r="C26" s="381" t="s">
        <v>198</v>
      </c>
      <c r="D26" s="381" t="s">
        <v>199</v>
      </c>
      <c r="E26" s="382" t="s">
        <v>202</v>
      </c>
      <c r="F26" s="15"/>
      <c r="G26" s="15"/>
    </row>
    <row r="27" spans="1:7">
      <c r="A27" s="368" t="s">
        <v>187</v>
      </c>
      <c r="B27" s="19">
        <v>197194</v>
      </c>
      <c r="C27" s="324">
        <v>50.6</v>
      </c>
      <c r="D27" s="20">
        <f>ROUND($D$7*C27%,0)</f>
        <v>1185</v>
      </c>
      <c r="E27" s="21">
        <f>ROUND($D$8*C27%,0)</f>
        <v>332</v>
      </c>
      <c r="F27" s="15"/>
      <c r="G27" s="15"/>
    </row>
    <row r="28" spans="1:7">
      <c r="A28" s="368" t="s">
        <v>85</v>
      </c>
      <c r="B28" s="19">
        <v>192250</v>
      </c>
      <c r="C28" s="324">
        <v>49.4</v>
      </c>
      <c r="D28" s="20">
        <f>ROUND($D$7*C28%,0)</f>
        <v>1156</v>
      </c>
      <c r="E28" s="21">
        <f>ROUND($D$8*C28%,0)</f>
        <v>325</v>
      </c>
      <c r="F28" s="15"/>
      <c r="G28" s="15"/>
    </row>
    <row r="29" spans="1:7" ht="17.25" thickBot="1">
      <c r="A29" s="537" t="s">
        <v>192</v>
      </c>
      <c r="B29" s="538"/>
      <c r="C29" s="538"/>
      <c r="D29" s="369">
        <f>SUM(D27:D28)</f>
        <v>2341</v>
      </c>
      <c r="E29" s="370">
        <f>SUM(E27:E28)</f>
        <v>657</v>
      </c>
      <c r="F29" s="15"/>
      <c r="G29" s="15"/>
    </row>
    <row r="30" spans="1:7" s="15" customFormat="1"/>
    <row r="31" spans="1:7" s="15" customFormat="1" ht="17.25" thickBot="1"/>
    <row r="32" spans="1:7">
      <c r="A32" s="535" t="s">
        <v>195</v>
      </c>
      <c r="B32" s="543" t="s">
        <v>249</v>
      </c>
      <c r="C32" s="543"/>
      <c r="D32" s="543"/>
      <c r="E32" s="544"/>
      <c r="F32" s="15"/>
      <c r="G32" s="15"/>
    </row>
    <row r="33" spans="1:7">
      <c r="A33" s="536"/>
      <c r="B33" s="386" t="s">
        <v>197</v>
      </c>
      <c r="C33" s="386" t="s">
        <v>198</v>
      </c>
      <c r="D33" s="386" t="s">
        <v>199</v>
      </c>
      <c r="E33" s="387" t="s">
        <v>202</v>
      </c>
      <c r="F33" s="15"/>
      <c r="G33" s="15"/>
    </row>
    <row r="34" spans="1:7">
      <c r="A34" s="368" t="s">
        <v>187</v>
      </c>
      <c r="B34" s="19">
        <v>10750</v>
      </c>
      <c r="C34" s="324">
        <v>61.4</v>
      </c>
      <c r="D34" s="20">
        <f>ROUND($E$7*C34%,0)</f>
        <v>958</v>
      </c>
      <c r="E34" s="21">
        <f>ROUND($E$8*C34%,0)</f>
        <v>269</v>
      </c>
      <c r="F34" s="15"/>
      <c r="G34" s="15"/>
    </row>
    <row r="35" spans="1:7">
      <c r="A35" s="368" t="s">
        <v>85</v>
      </c>
      <c r="B35" s="19">
        <v>6749</v>
      </c>
      <c r="C35" s="324">
        <v>38.6</v>
      </c>
      <c r="D35" s="20">
        <f>ROUND($E$7*C35%,0)</f>
        <v>603</v>
      </c>
      <c r="E35" s="21">
        <f>ROUND($E$8*C35%,0)</f>
        <v>169</v>
      </c>
      <c r="F35" s="15"/>
      <c r="G35" s="15"/>
    </row>
    <row r="36" spans="1:7" ht="17.25" thickBot="1">
      <c r="A36" s="537" t="s">
        <v>192</v>
      </c>
      <c r="B36" s="538"/>
      <c r="C36" s="538"/>
      <c r="D36" s="369">
        <f>SUM(D34:D35)</f>
        <v>1561</v>
      </c>
      <c r="E36" s="370">
        <f>SUM(E34:E35)</f>
        <v>438</v>
      </c>
      <c r="F36" s="15"/>
      <c r="G36" s="15"/>
    </row>
    <row r="37" spans="1:7" s="15" customFormat="1"/>
    <row r="38" spans="1:7" s="15" customFormat="1" ht="17.25" thickBot="1"/>
    <row r="39" spans="1:7" s="15" customFormat="1">
      <c r="A39" s="388" t="s">
        <v>205</v>
      </c>
      <c r="B39" s="539" t="s">
        <v>204</v>
      </c>
      <c r="C39" s="539"/>
      <c r="D39" s="389" t="s">
        <v>199</v>
      </c>
      <c r="E39" s="390" t="s">
        <v>202</v>
      </c>
    </row>
    <row r="40" spans="1:7">
      <c r="A40" s="391" t="s">
        <v>251</v>
      </c>
      <c r="B40" s="540" t="s">
        <v>250</v>
      </c>
      <c r="C40" s="541"/>
      <c r="D40" s="341">
        <f>SUM(D13,D20,D27,D34)</f>
        <v>4257</v>
      </c>
      <c r="E40" s="371">
        <f>SUM(E13,E20,E27,E34)</f>
        <v>1194</v>
      </c>
      <c r="F40" s="15"/>
      <c r="G40" s="15"/>
    </row>
    <row r="41" spans="1:7">
      <c r="A41" s="391" t="s">
        <v>252</v>
      </c>
      <c r="B41" s="541"/>
      <c r="C41" s="541"/>
      <c r="D41" s="341">
        <f t="shared" ref="D41:D42" si="2">SUM(D14,D21,D28,D35)</f>
        <v>3547</v>
      </c>
      <c r="E41" s="371">
        <f>SUM(E14,E21,E28,E35)</f>
        <v>995</v>
      </c>
      <c r="F41" s="15"/>
      <c r="G41" s="15"/>
    </row>
    <row r="42" spans="1:7" ht="17.25" thickBot="1">
      <c r="A42" s="392" t="s">
        <v>192</v>
      </c>
      <c r="B42" s="542"/>
      <c r="C42" s="542"/>
      <c r="D42" s="369">
        <f t="shared" si="2"/>
        <v>7804</v>
      </c>
      <c r="E42" s="370">
        <f>SUM(E40:E41)</f>
        <v>2189</v>
      </c>
      <c r="F42" s="15"/>
      <c r="G42" s="15"/>
    </row>
    <row r="43" spans="1:7" s="15" customFormat="1"/>
    <row r="44" spans="1:7" s="15" customFormat="1"/>
    <row r="45" spans="1:7" s="15" customFormat="1"/>
    <row r="46" spans="1:7" s="15" customFormat="1"/>
    <row r="47" spans="1:7" s="15" customFormat="1"/>
    <row r="48" spans="1:7" s="15" customFormat="1">
      <c r="A48" s="1"/>
    </row>
    <row r="49" spans="5:7">
      <c r="E49" s="15"/>
      <c r="F49" s="15"/>
      <c r="G49" s="15"/>
    </row>
    <row r="50" spans="5:7">
      <c r="E50" s="15"/>
      <c r="F50" s="15"/>
      <c r="G50" s="15"/>
    </row>
    <row r="51" spans="5:7">
      <c r="E51" s="15"/>
      <c r="F51" s="15"/>
      <c r="G51" s="15"/>
    </row>
    <row r="52" spans="5:7">
      <c r="E52" s="15"/>
      <c r="F52" s="15"/>
      <c r="G52" s="15"/>
    </row>
    <row r="53" spans="5:7">
      <c r="E53" s="15"/>
      <c r="F53" s="15"/>
      <c r="G53" s="15"/>
    </row>
    <row r="54" spans="5:7">
      <c r="E54" s="15"/>
      <c r="F54" s="15"/>
      <c r="G54" s="15"/>
    </row>
    <row r="55" spans="5:7">
      <c r="E55" s="15"/>
      <c r="F55" s="15"/>
      <c r="G55" s="15"/>
    </row>
    <row r="56" spans="5:7">
      <c r="E56" s="15"/>
      <c r="F56" s="15"/>
      <c r="G56" s="15"/>
    </row>
    <row r="57" spans="5:7">
      <c r="E57" s="15"/>
      <c r="F57" s="15"/>
      <c r="G57" s="15"/>
    </row>
    <row r="58" spans="5:7">
      <c r="E58" s="15"/>
      <c r="F58" s="15"/>
      <c r="G58" s="15"/>
    </row>
  </sheetData>
  <mergeCells count="20">
    <mergeCell ref="B11:E11"/>
    <mergeCell ref="G3:G4"/>
    <mergeCell ref="F3:F4"/>
    <mergeCell ref="A3:A4"/>
    <mergeCell ref="A1:H1"/>
    <mergeCell ref="A32:A33"/>
    <mergeCell ref="A36:C36"/>
    <mergeCell ref="B39:C39"/>
    <mergeCell ref="B40:C42"/>
    <mergeCell ref="B32:E32"/>
    <mergeCell ref="A22:C22"/>
    <mergeCell ref="A25:A26"/>
    <mergeCell ref="A29:C29"/>
    <mergeCell ref="B18:E18"/>
    <mergeCell ref="B25:E25"/>
    <mergeCell ref="A15:C15"/>
    <mergeCell ref="F2:H2"/>
    <mergeCell ref="A11:A12"/>
    <mergeCell ref="H3:H4"/>
    <mergeCell ref="A18:A19"/>
  </mergeCells>
  <phoneticPr fontId="2" type="noConversion"/>
  <pageMargins left="0.70866141732283472" right="0.70866141732283472" top="0.26" bottom="0.2" header="0.25" footer="0.17"/>
  <pageSetup paperSize="9" scale="6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2</vt:i4>
      </vt:variant>
    </vt:vector>
  </HeadingPairs>
  <TitlesOfParts>
    <vt:vector size="9" baseType="lpstr">
      <vt:lpstr>예산 배정</vt:lpstr>
      <vt:lpstr>평가 내역 세부자료</vt:lpstr>
      <vt:lpstr>총수신고</vt:lpstr>
      <vt:lpstr>체크카드</vt:lpstr>
      <vt:lpstr>스마트금융</vt:lpstr>
      <vt:lpstr>결합마케팅 우수국</vt:lpstr>
      <vt:lpstr>남인천과 인천남동 예산 배정 세부내역</vt:lpstr>
      <vt:lpstr>'예산 배정'!Print_Area</vt:lpstr>
      <vt:lpstr>'평가 내역 세부자료'!Print_Area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전현복</cp:lastModifiedBy>
  <cp:lastPrinted>2015-12-15T04:28:35Z</cp:lastPrinted>
  <dcterms:created xsi:type="dcterms:W3CDTF">2014-11-10T02:05:35Z</dcterms:created>
  <dcterms:modified xsi:type="dcterms:W3CDTF">2015-12-15T04:53:46Z</dcterms:modified>
</cp:coreProperties>
</file>