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370" activeTab="2"/>
  </bookViews>
  <sheets>
    <sheet name="원가계산서" sheetId="2" r:id="rId1"/>
    <sheet name="내역서" sheetId="4" r:id="rId2"/>
    <sheet name="자재산출" sheetId="6" r:id="rId3"/>
    <sheet name="일위대가" sheetId="5" r:id="rId4"/>
  </sheets>
  <definedNames>
    <definedName name="_xlnm.Print_Area" localSheetId="3">일위대가!$A$1:$N$205</definedName>
    <definedName name="_xlnm.Print_Area">#REF!</definedName>
    <definedName name="_xlnm.Print_Titles" localSheetId="1">내역서!$3:$4</definedName>
    <definedName name="_xlnm.Print_Titles" localSheetId="3">일위대가!$3:$4</definedName>
    <definedName name="_xlnm.Print_Titles" localSheetId="2">자재산출!$1:$3</definedName>
    <definedName name="_xlnm.Print_Titles">#REF!</definedName>
  </definedNames>
  <calcPr calcId="124519"/>
</workbook>
</file>

<file path=xl/calcChain.xml><?xml version="1.0" encoding="utf-8"?>
<calcChain xmlns="http://schemas.openxmlformats.org/spreadsheetml/2006/main">
  <c r="K36" i="4"/>
  <c r="J36"/>
  <c r="H36"/>
  <c r="F36"/>
  <c r="E14" i="6"/>
  <c r="K41" i="4"/>
  <c r="J41"/>
  <c r="H41"/>
  <c r="F41"/>
  <c r="K32"/>
  <c r="J32"/>
  <c r="H32"/>
  <c r="F32"/>
  <c r="K14"/>
  <c r="J14"/>
  <c r="H14"/>
  <c r="F14"/>
  <c r="K13"/>
  <c r="J13"/>
  <c r="H13"/>
  <c r="F13"/>
  <c r="L36" l="1"/>
  <c r="L13"/>
  <c r="L14"/>
  <c r="L32"/>
  <c r="L41"/>
  <c r="H50" l="1"/>
  <c r="J45"/>
  <c r="K45"/>
  <c r="L45"/>
  <c r="J46"/>
  <c r="K46"/>
  <c r="L46"/>
  <c r="J47"/>
  <c r="K47"/>
  <c r="L47"/>
  <c r="F50"/>
  <c r="E42" i="6"/>
  <c r="E20"/>
  <c r="E10"/>
  <c r="E11"/>
  <c r="K12" i="4"/>
  <c r="J12"/>
  <c r="H12"/>
  <c r="F12"/>
  <c r="E32" i="6"/>
  <c r="E22"/>
  <c r="E31"/>
  <c r="E30"/>
  <c r="E29"/>
  <c r="F202" i="5"/>
  <c r="L206"/>
  <c r="L205"/>
  <c r="L204"/>
  <c r="L203"/>
  <c r="L202"/>
  <c r="L199"/>
  <c r="L198"/>
  <c r="L197"/>
  <c r="L196"/>
  <c r="L189"/>
  <c r="L190"/>
  <c r="L191"/>
  <c r="L192"/>
  <c r="L188"/>
  <c r="F195"/>
  <c r="L195" s="1"/>
  <c r="O207"/>
  <c r="G206"/>
  <c r="M206" s="1"/>
  <c r="G205"/>
  <c r="M205" s="1"/>
  <c r="G204"/>
  <c r="M204" s="1"/>
  <c r="G203"/>
  <c r="M203" s="1"/>
  <c r="G202"/>
  <c r="O200"/>
  <c r="G199"/>
  <c r="M199" s="1"/>
  <c r="G198"/>
  <c r="M198" s="1"/>
  <c r="G197"/>
  <c r="M197" s="1"/>
  <c r="G196"/>
  <c r="M196" s="1"/>
  <c r="G195"/>
  <c r="G189"/>
  <c r="M189" s="1"/>
  <c r="G190"/>
  <c r="G193" s="1"/>
  <c r="M193" s="1"/>
  <c r="G191"/>
  <c r="M191" s="1"/>
  <c r="G192"/>
  <c r="M192" s="1"/>
  <c r="G188"/>
  <c r="M188" s="1"/>
  <c r="G200" l="1"/>
  <c r="M200" s="1"/>
  <c r="G207"/>
  <c r="M207" s="1"/>
  <c r="M190"/>
  <c r="M195"/>
  <c r="L50" i="4"/>
  <c r="E26" i="2" s="1"/>
  <c r="J50" i="4"/>
  <c r="L12"/>
  <c r="M202" i="5"/>
  <c r="O193" l="1"/>
  <c r="E26" i="6" l="1"/>
  <c r="E27" s="1"/>
  <c r="E15"/>
  <c r="O186" i="5"/>
  <c r="O180"/>
  <c r="O174"/>
  <c r="E38" i="6"/>
  <c r="E37"/>
  <c r="O168" i="5"/>
  <c r="E23" i="6"/>
  <c r="E21"/>
  <c r="O156" i="5"/>
  <c r="O161"/>
  <c r="O150"/>
  <c r="E8" i="6"/>
  <c r="E9" s="1"/>
  <c r="E17"/>
  <c r="E16"/>
  <c r="O142" i="5"/>
  <c r="E13" i="6"/>
  <c r="O136" i="5"/>
  <c r="O129"/>
  <c r="O122"/>
  <c r="O117" l="1"/>
  <c r="O105" l="1"/>
  <c r="O97"/>
  <c r="K8" i="4" l="1"/>
  <c r="O90" i="5"/>
  <c r="O78"/>
  <c r="O66" l="1"/>
  <c r="K66"/>
  <c r="I66"/>
  <c r="G66"/>
  <c r="K62"/>
  <c r="I62"/>
  <c r="G62"/>
  <c r="O62"/>
  <c r="M66" l="1"/>
  <c r="M62"/>
  <c r="O57"/>
  <c r="O53" l="1"/>
  <c r="O43"/>
  <c r="L25"/>
  <c r="L26"/>
  <c r="L27"/>
  <c r="L28"/>
  <c r="L29"/>
  <c r="L30"/>
  <c r="L33"/>
  <c r="L34"/>
  <c r="L35"/>
  <c r="L36"/>
  <c r="L37"/>
  <c r="L38"/>
  <c r="L39"/>
  <c r="L24"/>
  <c r="I19"/>
  <c r="I20"/>
  <c r="I21"/>
  <c r="I24"/>
  <c r="M24" s="1"/>
  <c r="I25"/>
  <c r="M25" s="1"/>
  <c r="I26"/>
  <c r="M26" s="1"/>
  <c r="I27"/>
  <c r="M27" s="1"/>
  <c r="I28"/>
  <c r="M28" s="1"/>
  <c r="I29"/>
  <c r="M29" s="1"/>
  <c r="I30"/>
  <c r="M30" s="1"/>
  <c r="I33"/>
  <c r="M33" s="1"/>
  <c r="I34"/>
  <c r="M34" s="1"/>
  <c r="I35"/>
  <c r="M35" s="1"/>
  <c r="I36"/>
  <c r="M36" s="1"/>
  <c r="I37"/>
  <c r="M37" s="1"/>
  <c r="I38"/>
  <c r="M38" s="1"/>
  <c r="I39"/>
  <c r="M39" s="1"/>
  <c r="I18"/>
  <c r="O40"/>
  <c r="O31"/>
  <c r="O22"/>
  <c r="I22" l="1"/>
  <c r="I31"/>
  <c r="M31" s="1"/>
  <c r="I40"/>
  <c r="M40" s="1"/>
  <c r="O16" l="1"/>
  <c r="G35" i="4" l="1"/>
  <c r="H35" s="1"/>
  <c r="G40"/>
  <c r="H40" s="1"/>
  <c r="I39"/>
  <c r="J39" s="1"/>
  <c r="E39"/>
  <c r="G34"/>
  <c r="H34" s="1"/>
  <c r="I33"/>
  <c r="J33" s="1"/>
  <c r="E33"/>
  <c r="G31"/>
  <c r="H31" s="1"/>
  <c r="I30"/>
  <c r="J30" s="1"/>
  <c r="E30"/>
  <c r="G26"/>
  <c r="H26" s="1"/>
  <c r="I25"/>
  <c r="J25" s="1"/>
  <c r="E25"/>
  <c r="G24"/>
  <c r="H24" s="1"/>
  <c r="I23"/>
  <c r="J23" s="1"/>
  <c r="E23"/>
  <c r="G19"/>
  <c r="H19" s="1"/>
  <c r="I18"/>
  <c r="J18" s="1"/>
  <c r="E18"/>
  <c r="G17"/>
  <c r="H17" s="1"/>
  <c r="I16"/>
  <c r="J16" s="1"/>
  <c r="E16"/>
  <c r="G15"/>
  <c r="H15" s="1"/>
  <c r="I11"/>
  <c r="J11" s="1"/>
  <c r="E11"/>
  <c r="I35"/>
  <c r="J35" s="1"/>
  <c r="E35"/>
  <c r="I40"/>
  <c r="J40" s="1"/>
  <c r="E40"/>
  <c r="G39"/>
  <c r="H39" s="1"/>
  <c r="H43" s="1"/>
  <c r="I34"/>
  <c r="J34" s="1"/>
  <c r="E34"/>
  <c r="G33"/>
  <c r="H33" s="1"/>
  <c r="I31"/>
  <c r="J31" s="1"/>
  <c r="E31"/>
  <c r="G30"/>
  <c r="H30" s="1"/>
  <c r="H37" s="1"/>
  <c r="I26"/>
  <c r="J26" s="1"/>
  <c r="E26"/>
  <c r="G25"/>
  <c r="H25" s="1"/>
  <c r="I24"/>
  <c r="J24" s="1"/>
  <c r="E24"/>
  <c r="G23"/>
  <c r="H23" s="1"/>
  <c r="H28" s="1"/>
  <c r="I19"/>
  <c r="J19" s="1"/>
  <c r="E19"/>
  <c r="G18"/>
  <c r="H18" s="1"/>
  <c r="I17"/>
  <c r="J17" s="1"/>
  <c r="E17"/>
  <c r="G16"/>
  <c r="H16" s="1"/>
  <c r="I15"/>
  <c r="J15" s="1"/>
  <c r="E15"/>
  <c r="G11"/>
  <c r="H11" s="1"/>
  <c r="E6"/>
  <c r="F6" s="1"/>
  <c r="E17" i="2"/>
  <c r="K17" i="4" l="1"/>
  <c r="F17"/>
  <c r="L17" s="1"/>
  <c r="K24"/>
  <c r="F24"/>
  <c r="L24" s="1"/>
  <c r="K31"/>
  <c r="F31"/>
  <c r="L31" s="1"/>
  <c r="K40"/>
  <c r="F40"/>
  <c r="L40" s="1"/>
  <c r="K35"/>
  <c r="F35"/>
  <c r="L35" s="1"/>
  <c r="F11"/>
  <c r="L11" s="1"/>
  <c r="K11"/>
  <c r="K18"/>
  <c r="F18"/>
  <c r="L18" s="1"/>
  <c r="K25"/>
  <c r="F25"/>
  <c r="L25" s="1"/>
  <c r="K33"/>
  <c r="F33"/>
  <c r="L33" s="1"/>
  <c r="J28"/>
  <c r="J37"/>
  <c r="J43"/>
  <c r="K15"/>
  <c r="F15"/>
  <c r="L15" s="1"/>
  <c r="F19"/>
  <c r="L19" s="1"/>
  <c r="K19"/>
  <c r="F26"/>
  <c r="L26" s="1"/>
  <c r="K26"/>
  <c r="K34"/>
  <c r="F34"/>
  <c r="L34" s="1"/>
  <c r="F16"/>
  <c r="L16" s="1"/>
  <c r="K16"/>
  <c r="F23"/>
  <c r="K23"/>
  <c r="K30"/>
  <c r="F30"/>
  <c r="F39"/>
  <c r="K39"/>
  <c r="H7"/>
  <c r="J10"/>
  <c r="J21" s="1"/>
  <c r="J7"/>
  <c r="H10"/>
  <c r="H21" s="1"/>
  <c r="I6"/>
  <c r="J6" s="1"/>
  <c r="G6"/>
  <c r="H6" s="1"/>
  <c r="F37" l="1"/>
  <c r="L30"/>
  <c r="L37" s="1"/>
  <c r="F43"/>
  <c r="L39"/>
  <c r="L43" s="1"/>
  <c r="F28"/>
  <c r="L23"/>
  <c r="L28" s="1"/>
  <c r="H8"/>
  <c r="H52" s="1"/>
  <c r="J8"/>
  <c r="J52" s="1"/>
  <c r="F7"/>
  <c r="L7" s="1"/>
  <c r="K7"/>
  <c r="F10"/>
  <c r="F21" s="1"/>
  <c r="K10"/>
  <c r="K6"/>
  <c r="L6"/>
  <c r="E9" i="2" l="1"/>
  <c r="E12"/>
  <c r="L10" i="4"/>
  <c r="L21" s="1"/>
  <c r="F8"/>
  <c r="F52" s="1"/>
  <c r="L8" l="1"/>
  <c r="L52" s="1"/>
  <c r="E5" i="2"/>
  <c r="E10"/>
  <c r="E11" s="1"/>
  <c r="E14" l="1"/>
  <c r="E13"/>
  <c r="E8" l="1"/>
  <c r="E21" l="1"/>
  <c r="E20"/>
  <c r="E22" l="1"/>
  <c r="E23" l="1"/>
  <c r="E24" l="1"/>
  <c r="E25" l="1"/>
  <c r="E27" l="1"/>
  <c r="E28" l="1"/>
  <c r="E29" l="1"/>
</calcChain>
</file>

<file path=xl/sharedStrings.xml><?xml version="1.0" encoding="utf-8"?>
<sst xmlns="http://schemas.openxmlformats.org/spreadsheetml/2006/main" count="1078" uniqueCount="417">
  <si>
    <t xml:space="preserve">                                                        구  분
       비   목</t>
  </si>
  <si>
    <t>건  강  보   험   료</t>
  </si>
  <si>
    <t>산  재  보   험   료</t>
  </si>
  <si>
    <t>직   접   재  료  비</t>
  </si>
  <si>
    <t>작업설.부산물 등(△)</t>
  </si>
  <si>
    <t>고  용  보   험   료</t>
  </si>
  <si>
    <t>(재+노)*3.03%</t>
  </si>
  <si>
    <t>(노)*3.8%</t>
  </si>
  <si>
    <t>(총원가)*10%</t>
  </si>
  <si>
    <t>노인 장기 요양보험료</t>
  </si>
  <si>
    <t>합      계</t>
  </si>
  <si>
    <t>(노)*0.87%</t>
  </si>
  <si>
    <t>(재+노+경)*6%</t>
  </si>
  <si>
    <t>구    성   비</t>
  </si>
  <si>
    <t>금      액</t>
  </si>
  <si>
    <t>직.노*9.6%</t>
  </si>
  <si>
    <t>경      비</t>
  </si>
  <si>
    <t>[단위 : 원]</t>
  </si>
  <si>
    <t>품      명</t>
  </si>
  <si>
    <t>규      격</t>
  </si>
  <si>
    <t>부   가   가  치  세</t>
  </si>
  <si>
    <t>직   접   노  무  비</t>
  </si>
  <si>
    <t>연  금  보   험   료</t>
  </si>
  <si>
    <t>순  공  사  원  가</t>
  </si>
  <si>
    <t>간   접   노  무  비</t>
  </si>
  <si>
    <t>환  경  보   전   비</t>
  </si>
  <si>
    <t>안  전   관   리  비</t>
  </si>
  <si>
    <t>퇴 직 공 제 부 금 비</t>
  </si>
  <si>
    <t>간   접   재  료  비</t>
  </si>
  <si>
    <t>(노+경+일)*10.51%</t>
  </si>
  <si>
    <t>일  반   관   리  비</t>
  </si>
  <si>
    <t>폐  기  물  처 리 비</t>
  </si>
  <si>
    <t>경  비</t>
  </si>
  <si>
    <t>3억원이상적용</t>
  </si>
  <si>
    <t>비    고</t>
  </si>
  <si>
    <t>1개월이상적용</t>
  </si>
  <si>
    <t>단  가</t>
  </si>
  <si>
    <t>금   액</t>
  </si>
  <si>
    <t>4천만원이상</t>
  </si>
  <si>
    <t>노  무  비</t>
  </si>
  <si>
    <t>재  료  비</t>
  </si>
  <si>
    <t>이                윤</t>
  </si>
  <si>
    <t>기    타    경    비</t>
  </si>
  <si>
    <t>총       원       가</t>
  </si>
  <si>
    <t>소                계</t>
  </si>
  <si>
    <t>기    계    경    비</t>
  </si>
  <si>
    <t xml:space="preserve"> 소               계</t>
  </si>
  <si>
    <t>도    급    금    액</t>
  </si>
  <si>
    <t>[  합          계   ]</t>
  </si>
  <si>
    <t>(재+직.노+기.경)*0.3%</t>
  </si>
  <si>
    <t>M2</t>
  </si>
  <si>
    <t>품명</t>
  </si>
  <si>
    <t>단위</t>
  </si>
  <si>
    <t>재료비</t>
  </si>
  <si>
    <t>규격</t>
  </si>
  <si>
    <t>노무비</t>
  </si>
  <si>
    <t/>
  </si>
  <si>
    <t>비고</t>
  </si>
  <si>
    <t>식</t>
  </si>
  <si>
    <t>계</t>
  </si>
  <si>
    <t>보통인부</t>
  </si>
  <si>
    <t>특별인부</t>
  </si>
  <si>
    <t>수  량</t>
  </si>
  <si>
    <t>비  고</t>
  </si>
  <si>
    <t>공구손료</t>
  </si>
  <si>
    <t>천원이하절삭</t>
  </si>
  <si>
    <t>1. 철거공사</t>
  </si>
  <si>
    <t>잡재료비</t>
  </si>
  <si>
    <t>산소 가스</t>
  </si>
  <si>
    <t>자재에입력</t>
  </si>
  <si>
    <t>노무비의 3%</t>
  </si>
  <si>
    <t xml:space="preserve"> [ 합          계 ]</t>
  </si>
  <si>
    <t>규        격</t>
  </si>
  <si>
    <t>(직.노)*2.3%</t>
  </si>
  <si>
    <t>(직.노)*2.49%</t>
  </si>
  <si>
    <t>품        명</t>
  </si>
  <si>
    <t>(직.노)*1.7%</t>
  </si>
  <si>
    <t>방수공</t>
  </si>
  <si>
    <t>HR</t>
  </si>
  <si>
    <t>용접공</t>
  </si>
  <si>
    <t>kg</t>
  </si>
  <si>
    <t>철공</t>
  </si>
  <si>
    <t>L</t>
  </si>
  <si>
    <t>EA</t>
  </si>
  <si>
    <t>전력</t>
  </si>
  <si>
    <t>배관공</t>
  </si>
  <si>
    <t>인</t>
  </si>
  <si>
    <t>개</t>
  </si>
  <si>
    <t>1</t>
  </si>
  <si>
    <t>위치</t>
  </si>
  <si>
    <t>산출식</t>
  </si>
  <si>
    <t>내장공</t>
  </si>
  <si>
    <t>KG</t>
  </si>
  <si>
    <t>M</t>
  </si>
  <si>
    <t>m2</t>
  </si>
  <si>
    <t>M3</t>
  </si>
  <si>
    <t>코킹공</t>
  </si>
  <si>
    <t>(건강보험료)*6.55%</t>
  </si>
  <si>
    <t>(재+직.노)*2.93%</t>
  </si>
  <si>
    <t>인력품의 3%</t>
  </si>
  <si>
    <t>원 가 계 산 서</t>
    <phoneticPr fontId="7" type="noConversion"/>
  </si>
  <si>
    <t>공 종 별  내 역 서</t>
    <phoneticPr fontId="7" type="noConversion"/>
  </si>
  <si>
    <t>자 재 산 출 내 역</t>
    <phoneticPr fontId="7" type="noConversion"/>
  </si>
  <si>
    <t>수량</t>
    <phoneticPr fontId="7" type="noConversion"/>
  </si>
  <si>
    <t>일 위 대 가 명 세 서</t>
    <phoneticPr fontId="7" type="noConversion"/>
  </si>
  <si>
    <t>1. 가설공사</t>
    <phoneticPr fontId="7" type="noConversion"/>
  </si>
  <si>
    <t>비계안정장치</t>
  </si>
  <si>
    <t>비계안정장치, 비계기본틀, 기둥, 1.2*1.7m</t>
  </si>
  <si>
    <t>비계안정장치, 가새, 1.2*1.9m</t>
  </si>
  <si>
    <t>비계안정장치, 수평띠장, 1829mm</t>
  </si>
  <si>
    <t>비계안정장치, 손잡이기둥</t>
  </si>
  <si>
    <t>비계안정장치, 손잡이, 1229mm</t>
  </si>
  <si>
    <t>비계안정장치, 손잡이, 1829mm</t>
  </si>
  <si>
    <t>비계안정장치, 바퀴</t>
  </si>
  <si>
    <t>비계안정장치, 쟈키</t>
  </si>
  <si>
    <t>판재</t>
  </si>
  <si>
    <t>판재, 외송, 일반</t>
  </si>
  <si>
    <t>일반공사 직종</t>
  </si>
  <si>
    <t>이동식강관말비계  1단(2m), 3개월  대  토목 2-6-3, 5</t>
    <phoneticPr fontId="7" type="noConversion"/>
  </si>
  <si>
    <t>일위01호</t>
    <phoneticPr fontId="7" type="noConversion"/>
  </si>
  <si>
    <t>이동식강관말비계</t>
  </si>
  <si>
    <t>1단(2m), 3개월</t>
  </si>
  <si>
    <t>대</t>
  </si>
  <si>
    <r>
      <t>일위0</t>
    </r>
    <r>
      <rPr>
        <sz val="11"/>
        <color rgb="FF000000"/>
        <rFont val="맑은 고딕"/>
        <family val="3"/>
        <charset val="129"/>
      </rPr>
      <t>1호</t>
    </r>
    <phoneticPr fontId="7" type="noConversion"/>
  </si>
  <si>
    <t>2. 수장공사</t>
    <phoneticPr fontId="7" type="noConversion"/>
  </si>
  <si>
    <t>천정보수</t>
    <phoneticPr fontId="7" type="noConversion"/>
  </si>
  <si>
    <t>시스톤(불연천정판)</t>
  </si>
  <si>
    <t>M-Bar      9*300*600</t>
  </si>
  <si>
    <t>거래583</t>
  </si>
  <si>
    <t>조립식 판넬, Standard</t>
  </si>
  <si>
    <t>지붕</t>
  </si>
  <si>
    <t>건축18-2-1.3</t>
  </si>
  <si>
    <t>크레인(트럭)</t>
  </si>
  <si>
    <t xml:space="preserve"> 20 TON</t>
  </si>
  <si>
    <t>중기 10호</t>
  </si>
  <si>
    <t>합  계</t>
  </si>
  <si>
    <t>일위02호</t>
    <phoneticPr fontId="7" type="noConversion"/>
  </si>
  <si>
    <t>샌드위치(단열)판넬설치</t>
    <phoneticPr fontId="7" type="noConversion"/>
  </si>
  <si>
    <t>우레탄방수제</t>
  </si>
  <si>
    <t>우레탄(노출)</t>
  </si>
  <si>
    <t>마감코팅제</t>
  </si>
  <si>
    <t>프라이머</t>
  </si>
  <si>
    <t>희석재</t>
  </si>
  <si>
    <t>우레탄방수  바닥3mm, 노출  M2  건축 13-5</t>
    <phoneticPr fontId="7" type="noConversion"/>
  </si>
  <si>
    <t>우레탄방수  벽3mm, 노출  M2  건축 13-5</t>
    <phoneticPr fontId="7" type="noConversion"/>
  </si>
  <si>
    <t>일위03호</t>
    <phoneticPr fontId="7" type="noConversion"/>
  </si>
  <si>
    <t>일위04호</t>
    <phoneticPr fontId="7" type="noConversion"/>
  </si>
  <si>
    <t>청소</t>
  </si>
  <si>
    <t>표준품셈</t>
  </si>
  <si>
    <t>일위05호</t>
    <phoneticPr fontId="7" type="noConversion"/>
  </si>
  <si>
    <t>바탕처리</t>
    <phoneticPr fontId="7" type="noConversion"/>
  </si>
  <si>
    <t>물가자료 부록</t>
  </si>
  <si>
    <t>IPALG 조인트용 실란트</t>
  </si>
  <si>
    <t>IPALG 조인트용 접착제</t>
  </si>
  <si>
    <t>IPALG 트라이슈머 단열베이스카펫</t>
  </si>
  <si>
    <t>IPALG 트라이슈머 단열복합시트</t>
  </si>
  <si>
    <t>IPALG 트라이슈머 TOP</t>
  </si>
  <si>
    <t>IPALG 트라이슈머 단열복합시트 방수</t>
    <phoneticPr fontId="7" type="noConversion"/>
  </si>
  <si>
    <t>일위06호</t>
    <phoneticPr fontId="7" type="noConversion"/>
  </si>
  <si>
    <t>기존자재사용,철물신설</t>
  </si>
  <si>
    <t>건축13-2-4</t>
  </si>
  <si>
    <t>일반철물</t>
  </si>
  <si>
    <t>선홈통지지철물, 스텐</t>
  </si>
  <si>
    <t>일위07호</t>
    <phoneticPr fontId="7" type="noConversion"/>
  </si>
  <si>
    <t>상자홈통해체후재설치</t>
    <phoneticPr fontId="7" type="noConversion"/>
  </si>
  <si>
    <t>실링재</t>
  </si>
  <si>
    <t>실리콘(비초산),유리용,창호주위</t>
  </si>
  <si>
    <t>일위08호</t>
    <phoneticPr fontId="7" type="noConversion"/>
  </si>
  <si>
    <t>실리콘(초산), 유리용</t>
  </si>
  <si>
    <t>일위09호</t>
    <phoneticPr fontId="7" type="noConversion"/>
  </si>
  <si>
    <t>유리끼우기코킹  실리콘,유리용-양면  M  건축 13-12-1</t>
    <phoneticPr fontId="7" type="noConversion"/>
  </si>
  <si>
    <t>수밀코킹(10mm각)  실리콘,창호주위(양면)  M  건축 13-12-1</t>
    <phoneticPr fontId="7" type="noConversion"/>
  </si>
  <si>
    <t xml:space="preserve"> [ 소          계 ]</t>
    <phoneticPr fontId="7" type="noConversion"/>
  </si>
  <si>
    <r>
      <t>(양면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</si>
  <si>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t xml:space="preserve"> [ 합          계 ]</t>
    <phoneticPr fontId="7" type="noConversion"/>
  </si>
  <si>
    <t xml:space="preserve"> [ 합          계 ]</t>
    <phoneticPr fontId="7" type="noConversion"/>
  </si>
  <si>
    <r>
      <t>(양면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</si>
  <si>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t>잡철물제작설치(철제)  간단  톤  건축 15-6   ( 호표 299 )</t>
  </si>
  <si>
    <t>연강용 피복아크 용접봉</t>
  </si>
  <si>
    <t>Φ3.2mm, CR-13</t>
  </si>
  <si>
    <t>기체</t>
  </si>
  <si>
    <t>아세틸렌 가스(835L)</t>
  </si>
  <si>
    <t>98%용접용</t>
  </si>
  <si>
    <t>용접기(교류)</t>
  </si>
  <si>
    <t>500A</t>
  </si>
  <si>
    <t>공통자재</t>
  </si>
  <si>
    <t>KWH</t>
  </si>
  <si>
    <t>일위10호</t>
    <phoneticPr fontId="7" type="noConversion"/>
  </si>
  <si>
    <t>균열보수</t>
  </si>
  <si>
    <t>아크릴탄성크랙카바재</t>
  </si>
  <si>
    <t>AC-100</t>
  </si>
  <si>
    <t>수중용에폭시실링재</t>
  </si>
  <si>
    <t>조이너 W</t>
  </si>
  <si>
    <t>발포우레탄지수재(1차)</t>
  </si>
  <si>
    <t>UF-1</t>
  </si>
  <si>
    <t>고강도우레탄지수재(2차)</t>
  </si>
  <si>
    <t>UF-1001</t>
  </si>
  <si>
    <t>PACKER</t>
  </si>
  <si>
    <t>10*60mm</t>
  </si>
  <si>
    <t>재료비의3%</t>
  </si>
  <si>
    <t>인건비의2%</t>
  </si>
  <si>
    <t>일위11호</t>
    <phoneticPr fontId="7" type="noConversion"/>
  </si>
  <si>
    <t>그라우팅</t>
    <phoneticPr fontId="7" type="noConversion"/>
  </si>
  <si>
    <t>[  소          계   ]</t>
    <phoneticPr fontId="7" type="noConversion"/>
  </si>
  <si>
    <t>인력품의 1%</t>
  </si>
  <si>
    <t xml:space="preserve"> [ 합          계 ]</t>
    <phoneticPr fontId="7" type="noConversion"/>
  </si>
  <si>
    <t>벽지바름(모르타르면)</t>
  </si>
  <si>
    <t>실크</t>
  </si>
  <si>
    <t>초배지</t>
  </si>
  <si>
    <t>비닐벽지</t>
  </si>
  <si>
    <t>실크형, A급</t>
  </si>
  <si>
    <t>초산비닐계접착제</t>
  </si>
  <si>
    <t>벽지용</t>
  </si>
  <si>
    <t>도배공</t>
  </si>
  <si>
    <t>일위13호</t>
    <phoneticPr fontId="7" type="noConversion"/>
  </si>
  <si>
    <t>벽지바름(모르타르면)  실크  M2  건축 20-3-1</t>
    <phoneticPr fontId="7" type="noConversion"/>
  </si>
  <si>
    <t>반자지바름(석고보드면)</t>
  </si>
  <si>
    <t>재배지</t>
  </si>
  <si>
    <t>일위14호</t>
    <phoneticPr fontId="7" type="noConversion"/>
  </si>
  <si>
    <t>반자지바름(석고보드면)  실크  M2  건축 20-3-1</t>
    <phoneticPr fontId="7" type="noConversion"/>
  </si>
  <si>
    <t>천정텍스 판붙임</t>
  </si>
  <si>
    <t>시스톤,M-Bar</t>
  </si>
  <si>
    <t>못</t>
  </si>
  <si>
    <t>건축목공</t>
  </si>
  <si>
    <t>일위15호</t>
    <phoneticPr fontId="7" type="noConversion"/>
  </si>
  <si>
    <t>천장텍스 판붙임,  시스톤 M-Bar, 9*300*600  M2  적산540</t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</si>
  <si>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5호</t>
    </r>
    <phoneticPr fontId="7" type="noConversion"/>
  </si>
  <si>
    <t xml:space="preserve"> [ 합          계 ]</t>
    <phoneticPr fontId="7" type="noConversion"/>
  </si>
  <si>
    <t>공사명 : 익산함열우체국 석면철거 보수 시설공사</t>
    <phoneticPr fontId="7" type="noConversion"/>
  </si>
  <si>
    <t>수성페인트,로울러칠</t>
  </si>
  <si>
    <t>내천정2회.2급</t>
  </si>
  <si>
    <t>수성 페인트</t>
  </si>
  <si>
    <t>KSM6010(2급)내부, 백색</t>
  </si>
  <si>
    <t>잡재료</t>
  </si>
  <si>
    <t>주재료비의 6%</t>
  </si>
  <si>
    <t>바탕만들기</t>
  </si>
  <si>
    <t>콘크리트,몰탈면(천정)</t>
  </si>
  <si>
    <t>도장공</t>
  </si>
  <si>
    <t>일위16호</t>
    <phoneticPr fontId="7" type="noConversion"/>
  </si>
  <si>
    <t xml:space="preserve"> [ 합          계 ]</t>
    <phoneticPr fontId="7" type="noConversion"/>
  </si>
  <si>
    <t>인력품의3%</t>
  </si>
  <si>
    <t>일위17호</t>
    <phoneticPr fontId="7" type="noConversion"/>
  </si>
  <si>
    <t>석고판못붙임(바탕용,벽)</t>
  </si>
  <si>
    <t>일반9.5mm</t>
  </si>
  <si>
    <t>석고판못붙임(바탕용,천정)</t>
  </si>
  <si>
    <t>석고판</t>
  </si>
  <si>
    <t>평보드,9.5*900*1800mm(㎡)</t>
  </si>
  <si>
    <t>일반 못 N 50</t>
  </si>
  <si>
    <t>공구손료 및 경장비</t>
  </si>
  <si>
    <t>일위18호</t>
    <phoneticPr fontId="7" type="noConversion"/>
  </si>
  <si>
    <t>일위19호</t>
    <phoneticPr fontId="7" type="noConversion"/>
  </si>
  <si>
    <t>수성페인트,로울러칠  내천정2회.2급  M2  건축 19-6-1</t>
    <phoneticPr fontId="7" type="noConversion"/>
  </si>
  <si>
    <t>샌드위치판넬설치-내벽  내부칸막이  M2  건축 20-2-5</t>
    <phoneticPr fontId="7" type="noConversion"/>
  </si>
  <si>
    <t>석고판못붙임(바탕용,벽)  일반9.5mm  M2  건축 20-2-2</t>
    <phoneticPr fontId="7" type="noConversion"/>
  </si>
  <si>
    <t>석고판못붙임(바탕용,천정)  일반9.5mm  M2  건축 20-2-2</t>
    <phoneticPr fontId="7" type="noConversion"/>
  </si>
  <si>
    <t>(2층 휴게실) (5.2+3.3)*2*3</t>
    <phoneticPr fontId="7" type="noConversion"/>
  </si>
  <si>
    <t>3. 도장공사</t>
    <phoneticPr fontId="7" type="noConversion"/>
  </si>
  <si>
    <t>비닐시트깔기(중보행용)</t>
  </si>
  <si>
    <t>2.0mm</t>
  </si>
  <si>
    <t>비닐시트</t>
  </si>
  <si>
    <t>2mm</t>
  </si>
  <si>
    <t>비닐타일용</t>
  </si>
  <si>
    <t>비닐시트깔기(중보행용)  2.0mm  M2  건축 20-1-4</t>
    <phoneticPr fontId="7" type="noConversion"/>
  </si>
  <si>
    <t>일위20호</t>
    <phoneticPr fontId="7" type="noConversion"/>
  </si>
  <si>
    <t>(텍스) 14+28.2+432.6+87.5-2*4.5
(밤라이트) 11.1 / (기타) 2*2</t>
    <phoneticPr fontId="7" type="noConversion"/>
  </si>
  <si>
    <t>조합페인트칠(붓칠)</t>
  </si>
  <si>
    <t>철재면2회.2급</t>
  </si>
  <si>
    <t>조합 페인트</t>
  </si>
  <si>
    <t>KSM6020(2급), 백색</t>
  </si>
  <si>
    <t>신너</t>
  </si>
  <si>
    <t>KSM6060,2종</t>
  </si>
  <si>
    <t>주재료비의 4%</t>
  </si>
  <si>
    <t>도장 후 퍼티 및 연마</t>
  </si>
  <si>
    <t>벽,철재면</t>
  </si>
  <si>
    <t>조합페인트칠(붓칠)  철재면2회.2급  M2  건축 19-3-1</t>
    <phoneticPr fontId="7" type="noConversion"/>
  </si>
  <si>
    <t>일위21호</t>
    <phoneticPr fontId="7" type="noConversion"/>
  </si>
  <si>
    <t>목재면(벽)</t>
  </si>
  <si>
    <t>철재면</t>
  </si>
  <si>
    <t>퍼티,PUTTY</t>
  </si>
  <si>
    <t>319퍼티,회색</t>
  </si>
  <si>
    <t>1L=1.55kg</t>
  </si>
  <si>
    <t>연마지</t>
  </si>
  <si>
    <t>연마지, #120~180, 230×280</t>
  </si>
  <si>
    <t>매</t>
  </si>
  <si>
    <t>인력품의2%</t>
  </si>
  <si>
    <t>바탕만들기  콘크리트,몰탈면(벽)  M2  건축 19-2.2</t>
    <phoneticPr fontId="7" type="noConversion"/>
  </si>
  <si>
    <t>바탕만들기  철재면  M2  건축 19-2.3</t>
    <phoneticPr fontId="7" type="noConversion"/>
  </si>
  <si>
    <t>일위22호</t>
    <phoneticPr fontId="7" type="noConversion"/>
  </si>
  <si>
    <t>일위23호</t>
    <phoneticPr fontId="7" type="noConversion"/>
  </si>
  <si>
    <t>철근콘크리트 철거</t>
  </si>
  <si>
    <t>소형브레이커(25kg)</t>
  </si>
  <si>
    <t>페이브먼트 브레이커</t>
  </si>
  <si>
    <t>25kg(55#)</t>
  </si>
  <si>
    <t>공기압축기(이동식)</t>
  </si>
  <si>
    <t>3.5M3/min</t>
  </si>
  <si>
    <t>착암공</t>
  </si>
  <si>
    <t>철근콘크리트 철거  소형브레이커(25kg)  M3  품셈 7-7</t>
    <phoneticPr fontId="7" type="noConversion"/>
  </si>
  <si>
    <t>일위24호</t>
    <phoneticPr fontId="7" type="noConversion"/>
  </si>
  <si>
    <t>(주차장출입문 기둥) (1*2*0.7)*2</t>
    <phoneticPr fontId="7" type="noConversion"/>
  </si>
  <si>
    <t>철골재 철거</t>
  </si>
  <si>
    <t>아세틸렌사용</t>
  </si>
  <si>
    <t>톤</t>
  </si>
  <si>
    <t>주차장 철문(양개) 0.1*2+0.05</t>
    <phoneticPr fontId="7" type="noConversion"/>
  </si>
  <si>
    <t>6000ℓ(병)</t>
  </si>
  <si>
    <t>병</t>
  </si>
  <si>
    <t>철골재 철거  아세틸렌사용  톤  품셈 21-1-4</t>
    <phoneticPr fontId="7" type="noConversion"/>
  </si>
  <si>
    <t>일위25호</t>
    <phoneticPr fontId="7" type="noConversion"/>
  </si>
  <si>
    <t>마루틀설치</t>
  </si>
  <si>
    <t>CONC바탕위</t>
  </si>
  <si>
    <t>4. 기타공사</t>
    <phoneticPr fontId="7" type="noConversion"/>
  </si>
  <si>
    <t>각재(角材)</t>
  </si>
  <si>
    <t>미송(㎥)</t>
  </si>
  <si>
    <t>마루틀설치  CONC바탕위  M2  건축 12-3</t>
    <phoneticPr fontId="7" type="noConversion"/>
  </si>
  <si>
    <t>일위26호</t>
    <phoneticPr fontId="7" type="noConversion"/>
  </si>
  <si>
    <t>T=12MM 내수합판</t>
  </si>
  <si>
    <t>합판붙임</t>
  </si>
  <si>
    <t>합판붙임</t>
    <phoneticPr fontId="7" type="noConversion"/>
  </si>
  <si>
    <t>내수합판</t>
  </si>
  <si>
    <t>1급, 12×910×1820mm(㎡)</t>
  </si>
  <si>
    <t>인력품의 2%</t>
  </si>
  <si>
    <t>일위27호</t>
    <phoneticPr fontId="7" type="noConversion"/>
  </si>
  <si>
    <t>공구손료 및 경장비</t>
    <phoneticPr fontId="7" type="noConversion"/>
  </si>
  <si>
    <t>합판붙임  T=12MM 내수합판  M2  건축 12-6.3</t>
    <phoneticPr fontId="7" type="noConversion"/>
  </si>
  <si>
    <t>5. 철거공사</t>
    <phoneticPr fontId="7" type="noConversion"/>
  </si>
  <si>
    <t>(2층 집배탈의실) 6*7</t>
    <phoneticPr fontId="7" type="noConversion"/>
  </si>
  <si>
    <t>스테인리스자바라대문</t>
  </si>
  <si>
    <t>기본형,900*450</t>
  </si>
  <si>
    <t>거래592,현장설치도</t>
  </si>
  <si>
    <t>화강석붙임(바닥)</t>
  </si>
  <si>
    <t>황등석판재</t>
  </si>
  <si>
    <t>시  멘  트</t>
  </si>
  <si>
    <t>(별도)</t>
  </si>
  <si>
    <t>모      래</t>
  </si>
  <si>
    <t>석공</t>
  </si>
  <si>
    <t>일위28호</t>
    <phoneticPr fontId="7" type="noConversion"/>
  </si>
  <si>
    <t>일위29호</t>
    <phoneticPr fontId="7" type="noConversion"/>
  </si>
  <si>
    <t>일위30호</t>
    <phoneticPr fontId="7" type="noConversion"/>
  </si>
  <si>
    <t>화강석붙임(바닥)  버너50mm황등석,몰탈30mm  M2  건축 10-1-1</t>
    <phoneticPr fontId="7" type="noConversion"/>
  </si>
  <si>
    <t>버너50mm황등석,몰탈30mm</t>
  </si>
  <si>
    <t>버너50mm황등석,몰탈30mm</t>
    <phoneticPr fontId="7" type="noConversion"/>
  </si>
  <si>
    <t>버너90mm황등석,몰탈30mm</t>
  </si>
  <si>
    <t>버너90mm황등석,몰탈30mm</t>
    <phoneticPr fontId="7" type="noConversion"/>
  </si>
  <si>
    <t>버너150mm황등석,몰탈30mm</t>
  </si>
  <si>
    <t>버너150mm황등석,몰탈30mm</t>
    <phoneticPr fontId="7" type="noConversion"/>
  </si>
  <si>
    <r>
      <t>거래4</t>
    </r>
    <r>
      <rPr>
        <sz val="11"/>
        <color rgb="FF000000"/>
        <rFont val="맑은 고딕"/>
        <family val="3"/>
        <charset val="129"/>
      </rPr>
      <t>96</t>
    </r>
    <phoneticPr fontId="7" type="noConversion"/>
  </si>
  <si>
    <t>버너,50mm</t>
    <phoneticPr fontId="7" type="noConversion"/>
  </si>
  <si>
    <t xml:space="preserve"> [ 합          계 ]</t>
    <phoneticPr fontId="7" type="noConversion"/>
  </si>
  <si>
    <t>화강석붙임(바닥)  버너90mm황등석,몰탈30mm  M2  건축 10-1-1</t>
    <phoneticPr fontId="7" type="noConversion"/>
  </si>
  <si>
    <t>버너,90mm</t>
    <phoneticPr fontId="7" type="noConversion"/>
  </si>
  <si>
    <t>화강석붙임(바닥)  버너150mm황등석,몰탈30mm  M2  건축 10-1-1</t>
    <phoneticPr fontId="7" type="noConversion"/>
  </si>
  <si>
    <t>버너,150mm</t>
    <phoneticPr fontId="7" type="noConversion"/>
  </si>
  <si>
    <t>여닫이도어</t>
  </si>
  <si>
    <t>여닫이도어</t>
    <phoneticPr fontId="7" type="noConversion"/>
  </si>
  <si>
    <t>1층(전산실1)+2층(휴게실1+문서고1+FC1+전실1+집배탈의실1)</t>
    <phoneticPr fontId="7" type="noConversion"/>
  </si>
  <si>
    <t>2층(집배휴게실1)</t>
    <phoneticPr fontId="7" type="noConversion"/>
  </si>
  <si>
    <t>SGP 문짝 및 문틀</t>
  </si>
  <si>
    <t>1800*2100</t>
  </si>
  <si>
    <t>1800*2100</t>
    <phoneticPr fontId="7" type="noConversion"/>
  </si>
  <si>
    <t>900*2100</t>
  </si>
  <si>
    <t>900*2100</t>
    <phoneticPr fontId="7" type="noConversion"/>
  </si>
  <si>
    <t>조</t>
  </si>
  <si>
    <t>조</t>
    <phoneticPr fontId="7" type="noConversion"/>
  </si>
  <si>
    <t>샌드위치 단열패널</t>
  </si>
  <si>
    <t>폴리스틸렌계,T=50,벽</t>
  </si>
  <si>
    <t>표준OJ411</t>
    <phoneticPr fontId="10" type="noConversion"/>
  </si>
  <si>
    <r>
      <t>물가자료5</t>
    </r>
    <r>
      <rPr>
        <sz val="11"/>
        <color rgb="FF000000"/>
        <rFont val="맑은 고딕"/>
        <family val="3"/>
        <charset val="129"/>
      </rPr>
      <t>49</t>
    </r>
    <phoneticPr fontId="7" type="noConversion"/>
  </si>
  <si>
    <t>(밤라이트) 6.6+136.24
(1층 탕비실) 1*3 / (2층집배탈의실) 7*3
-(문) 0.9*2.1*6+1.8*2.1*1</t>
    <phoneticPr fontId="7" type="noConversion"/>
  </si>
  <si>
    <t>(1층 탕비실) (2층 휴게실) 5.2*3.3+(2층 집배) (7+3.6)*6+ (기타) 6*6</t>
    <phoneticPr fontId="7" type="noConversion"/>
  </si>
  <si>
    <t>(1층탕비실) 2.2*4 / (옥외주차장) 1.5*2*4
(1층전산실) (4.5+3)*2*3.1-2*2.4-2*1.8
(집배실) (20.5+6)*2*3.1-2*2.1-2.5*3.1+3.7*2*3.1-0.9*2.1+3.5*3.1</t>
    <phoneticPr fontId="7" type="noConversion"/>
  </si>
  <si>
    <t>롤스크린</t>
  </si>
  <si>
    <t>롤스크린</t>
    <phoneticPr fontId="7" type="noConversion"/>
  </si>
  <si>
    <r>
      <t>무지(방염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</si>
  <si>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t>6. 폐기물처리</t>
    <phoneticPr fontId="7" type="noConversion"/>
  </si>
  <si>
    <t>무지(방염)</t>
  </si>
  <si>
    <t>건설폐기물수집운반비(상차비)</t>
  </si>
  <si>
    <t>15TON 덤프,중간처리</t>
  </si>
  <si>
    <t>ton</t>
  </si>
  <si>
    <t>건설폐기물수집운반비(운반비)</t>
  </si>
  <si>
    <t>15TON 덤프,중간처리,30km</t>
  </si>
  <si>
    <t>폐자재처리수수료</t>
  </si>
  <si>
    <t>혼합건설폐기물</t>
  </si>
  <si>
    <t>폐기물처리</t>
    <phoneticPr fontId="7" type="noConversion"/>
  </si>
  <si>
    <t>철근콘크리트</t>
    <phoneticPr fontId="7" type="noConversion"/>
  </si>
  <si>
    <t>톤</t>
    <phoneticPr fontId="7" type="noConversion"/>
  </si>
  <si>
    <t>합계제외</t>
    <phoneticPr fontId="7" type="noConversion"/>
  </si>
  <si>
    <t>철강설</t>
  </si>
  <si>
    <t>철강설, 고철, 작업설부산물</t>
  </si>
  <si>
    <t>0.25*1000</t>
    <phoneticPr fontId="7" type="noConversion"/>
  </si>
  <si>
    <t>거개가격</t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</si>
  <si>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5호</t>
    </r>
    <phoneticPr fontId="7" type="noConversion"/>
  </si>
  <si>
    <t>(1층탕비실) 2.2*4 + (2층 휴게실) 5.2*3.3</t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</si>
  <si>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8호</t>
    </r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</si>
  <si>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9호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</si>
  <si>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0호</t>
    </r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</si>
  <si>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3호</t>
    </r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</si>
  <si>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4호</t>
    </r>
    <phoneticPr fontId="7" type="noConversion"/>
  </si>
  <si>
    <r>
      <t>일위1</t>
    </r>
    <r>
      <rPr>
        <sz val="11"/>
        <color rgb="FF000000"/>
        <rFont val="맑은 고딕"/>
        <family val="3"/>
        <charset val="129"/>
      </rPr>
      <t>6호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</si>
  <si>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1호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</si>
  <si>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2호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</si>
  <si>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3호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</si>
  <si>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6호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</si>
  <si>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7호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</si>
  <si>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8호</t>
    </r>
    <phoneticPr fontId="7" type="noConversion"/>
  </si>
  <si>
    <r>
      <t>일위29호</t>
    </r>
    <r>
      <rPr>
        <sz val="11"/>
        <color rgb="FF000000"/>
        <rFont val="맑은 고딕"/>
        <family val="3"/>
        <charset val="129"/>
      </rPr>
      <t/>
    </r>
  </si>
  <si>
    <r>
      <t>일위30호</t>
    </r>
    <r>
      <rPr>
        <sz val="11"/>
        <color rgb="FF000000"/>
        <rFont val="맑은 고딕"/>
        <family val="3"/>
        <charset val="129"/>
      </rPr>
      <t/>
    </r>
  </si>
  <si>
    <r>
      <t>물가자료6</t>
    </r>
    <r>
      <rPr>
        <sz val="11"/>
        <color rgb="FF000000"/>
        <rFont val="맑은 고딕"/>
        <family val="3"/>
        <charset val="129"/>
      </rPr>
      <t>93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</si>
  <si>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4호</t>
    </r>
    <phoneticPr fontId="7" type="noConversion"/>
  </si>
  <si>
    <r>
      <t>일위2</t>
    </r>
    <r>
      <rPr>
        <sz val="11"/>
        <color rgb="FF000000"/>
        <rFont val="맑은 고딕"/>
        <family val="3"/>
        <charset val="129"/>
      </rPr>
      <t>5호</t>
    </r>
    <phoneticPr fontId="7" type="noConversion"/>
  </si>
  <si>
    <t>(우체국) (5.2+3.3)*2*3
(기타) (6+6)*2*2.3*1.5</t>
    <phoneticPr fontId="7" type="noConversion"/>
  </si>
  <si>
    <t>(우체국) 5.2*3.3 / (기타)6*6</t>
    <phoneticPr fontId="7" type="noConversion"/>
  </si>
  <si>
    <t>(문) 2*2.1*2+0.9*2.1*2+2*2.4
(셔터) 2.2*2.5*2+3*2.5*2
(거치대) (0.5+0.8+0.7)*2*0.6*9</t>
    <phoneticPr fontId="7" type="noConversion"/>
  </si>
  <si>
    <t>출입문 계단 (5.28+1.16+1.1)*0.3</t>
    <phoneticPr fontId="7" type="noConversion"/>
  </si>
  <si>
    <t>출입문 계단 (5.28+0.3+0.2+0.2+1.16+1.1)*0.3</t>
    <phoneticPr fontId="7" type="noConversion"/>
  </si>
  <si>
    <t>출입문 계단 (5.28+(0.3+0.2+0.2)*2+1.16+1.1)*0.3</t>
    <phoneticPr fontId="7" type="noConversion"/>
  </si>
  <si>
    <t>(1층 전면창호) (4.6+1.6)*2.1</t>
    <phoneticPr fontId="7" type="noConversion"/>
  </si>
  <si>
    <t>(주차장 출입문) 2*2+1</t>
    <phoneticPr fontId="7" type="noConversion"/>
  </si>
  <si>
    <t>(주차장출입문 기둥) 2.8*1.6</t>
    <phoneticPr fontId="7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</si>
</sst>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.00_ "/>
    <numFmt numFmtId="177" formatCode="#,##0_ "/>
    <numFmt numFmtId="178" formatCode="0.000_);[Red]\(0.000\)"/>
  </numFmts>
  <fonts count="12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rgb="FFC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DE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19">
    <xf numFmtId="0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2" borderId="1" xfId="0" applyNumberFormat="1" applyFill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>
      <alignment vertical="center"/>
    </xf>
    <xf numFmtId="0" fontId="0" fillId="0" borderId="1" xfId="0" applyNumberFormat="1" applyBorder="1" applyAlignment="1">
      <alignment vertical="center" wrapText="1"/>
    </xf>
    <xf numFmtId="41" fontId="0" fillId="0" borderId="1" xfId="1" applyNumberFormat="1" applyFont="1" applyBorder="1">
      <alignment vertical="center"/>
    </xf>
    <xf numFmtId="0" fontId="0" fillId="0" borderId="2" xfId="0" applyNumberFormat="1" applyBorder="1" applyAlignment="1">
      <alignment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3" borderId="1" xfId="0" applyNumberFormat="1" applyFont="1" applyFill="1" applyBorder="1" applyAlignment="1">
      <alignment vertical="center" wrapText="1"/>
    </xf>
    <xf numFmtId="0" fontId="0" fillId="3" borderId="1" xfId="0" applyNumberFormat="1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0" fontId="0" fillId="0" borderId="0" xfId="0" applyNumberFormat="1" applyAlignment="1">
      <alignment horizontal="right" vertical="center"/>
    </xf>
    <xf numFmtId="0" fontId="2" fillId="2" borderId="1" xfId="0" applyNumberFormat="1" applyFont="1" applyFill="1" applyBorder="1">
      <alignment vertical="center"/>
    </xf>
    <xf numFmtId="41" fontId="2" fillId="2" borderId="1" xfId="1" applyNumberFormat="1" applyFont="1" applyFill="1" applyBorder="1">
      <alignment vertical="center"/>
    </xf>
    <xf numFmtId="41" fontId="0" fillId="2" borderId="1" xfId="1" applyNumberFormat="1" applyFont="1" applyFill="1" applyBorder="1">
      <alignment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0" fontId="0" fillId="0" borderId="3" xfId="0" applyNumberFormat="1" applyBorder="1">
      <alignment vertical="center"/>
    </xf>
    <xf numFmtId="41" fontId="0" fillId="0" borderId="3" xfId="1" applyNumberFormat="1" applyFont="1" applyBorder="1">
      <alignment vertical="center"/>
    </xf>
    <xf numFmtId="0" fontId="0" fillId="0" borderId="4" xfId="0" applyNumberFormat="1" applyBorder="1">
      <alignment vertical="center"/>
    </xf>
    <xf numFmtId="41" fontId="0" fillId="0" borderId="4" xfId="1" applyNumberFormat="1" applyFont="1" applyBorder="1">
      <alignment vertical="center"/>
    </xf>
    <xf numFmtId="0" fontId="0" fillId="0" borderId="5" xfId="0" applyNumberFormat="1" applyBorder="1">
      <alignment vertical="center"/>
    </xf>
    <xf numFmtId="41" fontId="0" fillId="0" borderId="5" xfId="1" applyNumberFormat="1" applyFont="1" applyBorder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>
      <alignment vertical="center"/>
    </xf>
    <xf numFmtId="0" fontId="0" fillId="0" borderId="1" xfId="0" applyNumberFormat="1" applyFill="1" applyBorder="1">
      <alignment vertical="center"/>
    </xf>
    <xf numFmtId="41" fontId="0" fillId="0" borderId="1" xfId="1" applyNumberFormat="1" applyFont="1" applyFill="1" applyBorder="1">
      <alignment vertical="center"/>
    </xf>
    <xf numFmtId="0" fontId="0" fillId="0" borderId="0" xfId="0" applyNumberFormat="1" applyFill="1">
      <alignment vertical="center"/>
    </xf>
    <xf numFmtId="41" fontId="0" fillId="5" borderId="1" xfId="1" applyNumberFormat="1" applyFont="1" applyFill="1" applyBorder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0" fillId="0" borderId="2" xfId="0" applyNumberForma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77" fontId="0" fillId="0" borderId="1" xfId="1" applyNumberFormat="1" applyFont="1" applyFill="1" applyBorder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0" fillId="2" borderId="7" xfId="0" applyNumberFormat="1" applyFont="1" applyFill="1" applyBorder="1" applyAlignment="1" applyProtection="1">
      <alignment vertical="center"/>
    </xf>
    <xf numFmtId="0" fontId="0" fillId="2" borderId="8" xfId="0" applyNumberFormat="1" applyFont="1" applyFill="1" applyBorder="1" applyAlignment="1" applyProtection="1">
      <alignment vertical="center"/>
    </xf>
    <xf numFmtId="178" fontId="0" fillId="0" borderId="0" xfId="0" applyNumberFormat="1" applyFont="1" applyFill="1" applyBorder="1" applyAlignment="1" applyProtection="1">
      <alignment horizontal="right" vertical="center"/>
    </xf>
    <xf numFmtId="178" fontId="0" fillId="0" borderId="2" xfId="0" applyNumberFormat="1" applyFont="1" applyFill="1" applyBorder="1" applyAlignment="1" applyProtection="1">
      <alignment horizontal="right" vertical="center"/>
    </xf>
    <xf numFmtId="178" fontId="0" fillId="0" borderId="1" xfId="1" applyNumberFormat="1" applyFont="1" applyFill="1" applyBorder="1" applyAlignment="1" applyProtection="1">
      <alignment horizontal="right" vertical="center"/>
    </xf>
    <xf numFmtId="0" fontId="0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Border="1" applyAlignment="1">
      <alignment vertical="center"/>
    </xf>
    <xf numFmtId="0" fontId="0" fillId="0" borderId="6" xfId="0" applyNumberFormat="1" applyFont="1" applyBorder="1" applyAlignment="1">
      <alignment vertical="center" wrapText="1"/>
    </xf>
    <xf numFmtId="178" fontId="0" fillId="2" borderId="1" xfId="1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0" fillId="0" borderId="19" xfId="0" applyNumberFormat="1" applyBorder="1" applyAlignment="1">
      <alignment horizontal="center" vertical="center"/>
    </xf>
    <xf numFmtId="0" fontId="0" fillId="0" borderId="19" xfId="0" applyNumberFormat="1" applyBorder="1">
      <alignment vertical="center"/>
    </xf>
    <xf numFmtId="0" fontId="0" fillId="0" borderId="19" xfId="0" applyNumberFormat="1" applyBorder="1" applyAlignment="1">
      <alignment vertical="center" wrapText="1"/>
    </xf>
    <xf numFmtId="0" fontId="2" fillId="6" borderId="7" xfId="0" applyNumberFormat="1" applyFont="1" applyFill="1" applyBorder="1">
      <alignment vertical="center"/>
    </xf>
    <xf numFmtId="0" fontId="0" fillId="6" borderId="19" xfId="0" applyNumberFormat="1" applyFill="1" applyBorder="1">
      <alignment vertical="center"/>
    </xf>
    <xf numFmtId="0" fontId="0" fillId="6" borderId="19" xfId="0" applyNumberFormat="1" applyFill="1" applyBorder="1" applyAlignment="1">
      <alignment vertical="center" wrapText="1"/>
    </xf>
    <xf numFmtId="0" fontId="0" fillId="6" borderId="8" xfId="0" applyNumberFormat="1" applyFill="1" applyBorder="1">
      <alignment vertical="center"/>
    </xf>
    <xf numFmtId="176" fontId="0" fillId="0" borderId="19" xfId="0" applyNumberFormat="1" applyBorder="1" applyAlignment="1">
      <alignment horizontal="center" vertical="center"/>
    </xf>
    <xf numFmtId="41" fontId="0" fillId="0" borderId="19" xfId="1" applyNumberFormat="1" applyFont="1" applyBorder="1">
      <alignment vertical="center"/>
    </xf>
    <xf numFmtId="0" fontId="3" fillId="6" borderId="7" xfId="0" applyNumberFormat="1" applyFont="1" applyFill="1" applyBorder="1">
      <alignment vertical="center"/>
    </xf>
    <xf numFmtId="176" fontId="0" fillId="6" borderId="19" xfId="0" applyNumberFormat="1" applyFill="1" applyBorder="1" applyAlignment="1">
      <alignment horizontal="center" vertical="center"/>
    </xf>
    <xf numFmtId="41" fontId="0" fillId="6" borderId="19" xfId="1" applyNumberFormat="1" applyFont="1" applyFill="1" applyBorder="1">
      <alignment vertical="center"/>
    </xf>
    <xf numFmtId="0" fontId="0" fillId="6" borderId="8" xfId="0" applyNumberFormat="1" applyFill="1" applyBorder="1" applyAlignment="1">
      <alignment vertical="center" wrapText="1"/>
    </xf>
    <xf numFmtId="0" fontId="1" fillId="0" borderId="1" xfId="0" applyNumberFormat="1" applyFont="1" applyBorder="1">
      <alignment vertical="center"/>
    </xf>
    <xf numFmtId="0" fontId="0" fillId="6" borderId="19" xfId="0" applyNumberFormat="1" applyFill="1" applyBorder="1" applyAlignment="1">
      <alignment vertical="center"/>
    </xf>
    <xf numFmtId="0" fontId="1" fillId="0" borderId="1" xfId="0" applyNumberFormat="1" applyFont="1" applyBorder="1" applyAlignment="1">
      <alignment vertical="center"/>
    </xf>
    <xf numFmtId="0" fontId="1" fillId="2" borderId="8" xfId="0" applyNumberFormat="1" applyFont="1" applyFill="1" applyBorder="1" applyAlignment="1" applyProtection="1">
      <alignment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0" fillId="7" borderId="1" xfId="0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>
      <alignment horizontal="center" vertical="center"/>
    </xf>
    <xf numFmtId="176" fontId="0" fillId="7" borderId="1" xfId="0" applyNumberFormat="1" applyFont="1" applyFill="1" applyBorder="1" applyAlignment="1">
      <alignment horizontal="center" vertical="center"/>
    </xf>
    <xf numFmtId="41" fontId="0" fillId="7" borderId="1" xfId="1" applyNumberFormat="1" applyFont="1" applyFill="1" applyBorder="1">
      <alignment vertical="center"/>
    </xf>
    <xf numFmtId="0" fontId="0" fillId="7" borderId="1" xfId="0" applyNumberFormat="1" applyFont="1" applyFill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78" fontId="0" fillId="0" borderId="0" xfId="1" applyNumberFormat="1" applyFont="1" applyFill="1" applyBorder="1" applyAlignment="1" applyProtection="1">
      <alignment horizontal="right" vertical="center"/>
    </xf>
    <xf numFmtId="41" fontId="0" fillId="0" borderId="0" xfId="1" applyNumberFormat="1" applyFont="1" applyFill="1" applyBorder="1">
      <alignment vertical="center"/>
    </xf>
    <xf numFmtId="0" fontId="0" fillId="0" borderId="0" xfId="0" applyNumberFormat="1" applyFill="1" applyBorder="1">
      <alignment vertical="center"/>
    </xf>
    <xf numFmtId="0" fontId="1" fillId="0" borderId="1" xfId="0" applyNumberFormat="1" applyFont="1" applyFill="1" applyBorder="1">
      <alignment vertical="center"/>
    </xf>
    <xf numFmtId="0" fontId="8" fillId="0" borderId="1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vertical="center"/>
    </xf>
    <xf numFmtId="0" fontId="9" fillId="2" borderId="8" xfId="0" applyNumberFormat="1" applyFont="1" applyFill="1" applyBorder="1" applyAlignment="1" applyProtection="1">
      <alignment vertical="center"/>
    </xf>
    <xf numFmtId="0" fontId="9" fillId="2" borderId="1" xfId="0" applyNumberFormat="1" applyFont="1" applyFill="1" applyBorder="1" applyAlignment="1" applyProtection="1">
      <alignment vertical="center"/>
    </xf>
    <xf numFmtId="0" fontId="11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4" borderId="10" xfId="0" applyNumberFormat="1" applyFill="1" applyBorder="1" applyAlignment="1">
      <alignment vertical="center" wrapText="1"/>
    </xf>
    <xf numFmtId="0" fontId="0" fillId="4" borderId="11" xfId="0" applyNumberFormat="1" applyFill="1" applyBorder="1" applyAlignment="1">
      <alignment vertical="center"/>
    </xf>
    <xf numFmtId="0" fontId="0" fillId="4" borderId="12" xfId="0" applyNumberFormat="1" applyFill="1" applyBorder="1" applyAlignment="1">
      <alignment vertical="center"/>
    </xf>
    <xf numFmtId="0" fontId="0" fillId="4" borderId="13" xfId="0" applyNumberFormat="1" applyFill="1" applyBorder="1" applyAlignment="1">
      <alignment vertical="center"/>
    </xf>
    <xf numFmtId="0" fontId="0" fillId="4" borderId="14" xfId="0" applyNumberFormat="1" applyFill="1" applyBorder="1" applyAlignment="1">
      <alignment vertical="center"/>
    </xf>
    <xf numFmtId="0" fontId="0" fillId="4" borderId="15" xfId="0" applyNumberFormat="1" applyFill="1" applyBorder="1" applyAlignment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0" fillId="0" borderId="9" xfId="0" applyNumberFormat="1" applyBorder="1" applyAlignment="1">
      <alignment vertical="center" textRotation="255"/>
    </xf>
    <xf numFmtId="0" fontId="0" fillId="0" borderId="16" xfId="0" applyNumberFormat="1" applyBorder="1" applyAlignment="1">
      <alignment vertical="center" textRotation="255"/>
    </xf>
    <xf numFmtId="0" fontId="0" fillId="0" borderId="6" xfId="0" applyNumberFormat="1" applyBorder="1" applyAlignment="1">
      <alignment vertical="center" textRotation="255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78" fontId="2" fillId="4" borderId="1" xfId="0" applyNumberFormat="1" applyFont="1" applyFill="1" applyBorder="1" applyAlignment="1" applyProtection="1">
      <alignment horizontal="center" vertical="center"/>
    </xf>
    <xf numFmtId="0" fontId="2" fillId="4" borderId="9" xfId="0" applyNumberFormat="1" applyFont="1" applyFill="1" applyBorder="1" applyAlignment="1" applyProtection="1">
      <alignment horizontal="center" vertical="center"/>
    </xf>
    <xf numFmtId="0" fontId="2" fillId="4" borderId="17" xfId="0" applyNumberFormat="1" applyFont="1" applyFill="1" applyBorder="1" applyAlignment="1" applyProtection="1">
      <alignment horizontal="center" vertical="center"/>
    </xf>
    <xf numFmtId="0" fontId="2" fillId="4" borderId="16" xfId="0" applyNumberFormat="1" applyFont="1" applyFill="1" applyBorder="1" applyAlignment="1" applyProtection="1">
      <alignment horizontal="center" vertical="center"/>
    </xf>
    <xf numFmtId="0" fontId="2" fillId="4" borderId="18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9"/>
  <sheetViews>
    <sheetView view="pageBreakPreview" zoomScaleSheetLayoutView="100" workbookViewId="0">
      <selection activeCell="E27" sqref="E27"/>
    </sheetView>
  </sheetViews>
  <sheetFormatPr defaultColWidth="9" defaultRowHeight="16.5"/>
  <cols>
    <col min="1" max="1" width="13.125" customWidth="1"/>
    <col min="2" max="2" width="12" customWidth="1"/>
    <col min="3" max="3" width="20.625" bestFit="1" customWidth="1"/>
    <col min="4" max="4" width="42.25" customWidth="1"/>
    <col min="5" max="5" width="14.5" customWidth="1"/>
    <col min="6" max="6" width="17.75" customWidth="1"/>
  </cols>
  <sheetData>
    <row r="1" spans="1:6" ht="31.5">
      <c r="A1" s="98" t="s">
        <v>100</v>
      </c>
      <c r="B1" s="98"/>
      <c r="C1" s="98"/>
      <c r="D1" s="98"/>
      <c r="E1" s="98"/>
      <c r="F1" s="98"/>
    </row>
    <row r="2" spans="1:6">
      <c r="A2" s="57" t="s">
        <v>228</v>
      </c>
      <c r="B2" s="9"/>
      <c r="C2" s="9"/>
      <c r="D2" s="9"/>
      <c r="E2" s="9"/>
      <c r="F2" s="13" t="s">
        <v>17</v>
      </c>
    </row>
    <row r="3" spans="1:6">
      <c r="A3" s="99" t="s">
        <v>0</v>
      </c>
      <c r="B3" s="100"/>
      <c r="C3" s="101"/>
      <c r="D3" s="105" t="s">
        <v>13</v>
      </c>
      <c r="E3" s="105" t="s">
        <v>14</v>
      </c>
      <c r="F3" s="105" t="s">
        <v>34</v>
      </c>
    </row>
    <row r="4" spans="1:6">
      <c r="A4" s="102"/>
      <c r="B4" s="103"/>
      <c r="C4" s="104"/>
      <c r="D4" s="105"/>
      <c r="E4" s="105"/>
      <c r="F4" s="105"/>
    </row>
    <row r="5" spans="1:6">
      <c r="A5" s="106" t="s">
        <v>23</v>
      </c>
      <c r="B5" s="97" t="s">
        <v>53</v>
      </c>
      <c r="C5" s="26" t="s">
        <v>3</v>
      </c>
      <c r="D5" s="20" t="s">
        <v>56</v>
      </c>
      <c r="E5" s="21">
        <f>내역서!F52</f>
        <v>13977466.981679998</v>
      </c>
      <c r="F5" s="20" t="s">
        <v>56</v>
      </c>
    </row>
    <row r="6" spans="1:6">
      <c r="A6" s="107"/>
      <c r="B6" s="97"/>
      <c r="C6" s="27" t="s">
        <v>28</v>
      </c>
      <c r="D6" s="22" t="s">
        <v>56</v>
      </c>
      <c r="E6" s="23"/>
      <c r="F6" s="22" t="s">
        <v>56</v>
      </c>
    </row>
    <row r="7" spans="1:6">
      <c r="A7" s="107"/>
      <c r="B7" s="97"/>
      <c r="C7" s="28" t="s">
        <v>4</v>
      </c>
      <c r="D7" s="24" t="s">
        <v>56</v>
      </c>
      <c r="E7" s="25"/>
      <c r="F7" s="24" t="s">
        <v>56</v>
      </c>
    </row>
    <row r="8" spans="1:6">
      <c r="A8" s="107"/>
      <c r="B8" s="97"/>
      <c r="C8" s="17" t="s">
        <v>46</v>
      </c>
      <c r="D8" s="1" t="s">
        <v>56</v>
      </c>
      <c r="E8" s="40">
        <f>SUM(E5:E7)</f>
        <v>13977466.981679998</v>
      </c>
      <c r="F8" s="1" t="s">
        <v>56</v>
      </c>
    </row>
    <row r="9" spans="1:6">
      <c r="A9" s="107"/>
      <c r="B9" s="97" t="s">
        <v>55</v>
      </c>
      <c r="C9" s="26" t="s">
        <v>21</v>
      </c>
      <c r="D9" s="20" t="s">
        <v>56</v>
      </c>
      <c r="E9" s="21">
        <f>내역서!H52</f>
        <v>10462786.350000003</v>
      </c>
      <c r="F9" s="20" t="s">
        <v>56</v>
      </c>
    </row>
    <row r="10" spans="1:6">
      <c r="A10" s="107"/>
      <c r="B10" s="97"/>
      <c r="C10" s="28" t="s">
        <v>24</v>
      </c>
      <c r="D10" s="24" t="s">
        <v>15</v>
      </c>
      <c r="E10" s="25">
        <f>E9*0.096</f>
        <v>1004427.4896000003</v>
      </c>
      <c r="F10" s="24"/>
    </row>
    <row r="11" spans="1:6">
      <c r="A11" s="107"/>
      <c r="B11" s="97"/>
      <c r="C11" s="17" t="s">
        <v>44</v>
      </c>
      <c r="D11" s="1" t="s">
        <v>56</v>
      </c>
      <c r="E11" s="6">
        <f>SUM(E9:E10)</f>
        <v>11467213.839600004</v>
      </c>
      <c r="F11" s="1" t="s">
        <v>56</v>
      </c>
    </row>
    <row r="12" spans="1:6">
      <c r="A12" s="107"/>
      <c r="B12" s="97" t="s">
        <v>32</v>
      </c>
      <c r="C12" s="26" t="s">
        <v>45</v>
      </c>
      <c r="D12" s="20" t="s">
        <v>56</v>
      </c>
      <c r="E12" s="21">
        <f>내역서!J52</f>
        <v>12756.8</v>
      </c>
      <c r="F12" s="20" t="s">
        <v>56</v>
      </c>
    </row>
    <row r="13" spans="1:6">
      <c r="A13" s="107"/>
      <c r="B13" s="97"/>
      <c r="C13" s="27" t="s">
        <v>2</v>
      </c>
      <c r="D13" s="22" t="s">
        <v>7</v>
      </c>
      <c r="E13" s="23">
        <f>E11*0.038</f>
        <v>435754.12590480014</v>
      </c>
      <c r="F13" s="22" t="s">
        <v>56</v>
      </c>
    </row>
    <row r="14" spans="1:6">
      <c r="A14" s="107"/>
      <c r="B14" s="97"/>
      <c r="C14" s="27" t="s">
        <v>5</v>
      </c>
      <c r="D14" s="22" t="s">
        <v>11</v>
      </c>
      <c r="E14" s="23">
        <f>E11*0.0087</f>
        <v>99764.760404520028</v>
      </c>
      <c r="F14" s="22" t="s">
        <v>56</v>
      </c>
    </row>
    <row r="15" spans="1:6">
      <c r="A15" s="107"/>
      <c r="B15" s="97"/>
      <c r="C15" s="27" t="s">
        <v>1</v>
      </c>
      <c r="D15" s="22" t="s">
        <v>76</v>
      </c>
      <c r="E15" s="23"/>
      <c r="F15" s="22" t="s">
        <v>35</v>
      </c>
    </row>
    <row r="16" spans="1:6">
      <c r="A16" s="107"/>
      <c r="B16" s="97"/>
      <c r="C16" s="27" t="s">
        <v>22</v>
      </c>
      <c r="D16" s="22" t="s">
        <v>74</v>
      </c>
      <c r="E16" s="23"/>
      <c r="F16" s="22" t="s">
        <v>35</v>
      </c>
    </row>
    <row r="17" spans="1:6">
      <c r="A17" s="107"/>
      <c r="B17" s="97"/>
      <c r="C17" s="27" t="s">
        <v>9</v>
      </c>
      <c r="D17" s="22" t="s">
        <v>97</v>
      </c>
      <c r="E17" s="23">
        <f>E15*H17</f>
        <v>0</v>
      </c>
      <c r="F17" s="22" t="s">
        <v>35</v>
      </c>
    </row>
    <row r="18" spans="1:6">
      <c r="A18" s="107"/>
      <c r="B18" s="97"/>
      <c r="C18" s="27" t="s">
        <v>27</v>
      </c>
      <c r="D18" s="22" t="s">
        <v>73</v>
      </c>
      <c r="E18" s="23"/>
      <c r="F18" s="22" t="s">
        <v>33</v>
      </c>
    </row>
    <row r="19" spans="1:6">
      <c r="A19" s="107"/>
      <c r="B19" s="97"/>
      <c r="C19" s="27" t="s">
        <v>26</v>
      </c>
      <c r="D19" s="22" t="s">
        <v>98</v>
      </c>
      <c r="E19" s="23"/>
      <c r="F19" s="22" t="s">
        <v>38</v>
      </c>
    </row>
    <row r="20" spans="1:6">
      <c r="A20" s="107"/>
      <c r="B20" s="97"/>
      <c r="C20" s="27" t="s">
        <v>42</v>
      </c>
      <c r="D20" s="22" t="s">
        <v>6</v>
      </c>
      <c r="E20" s="23">
        <f>(E8+E11)*0.0303</f>
        <v>770973.82888478413</v>
      </c>
      <c r="F20" s="22" t="s">
        <v>56</v>
      </c>
    </row>
    <row r="21" spans="1:6">
      <c r="A21" s="107"/>
      <c r="B21" s="97"/>
      <c r="C21" s="28" t="s">
        <v>25</v>
      </c>
      <c r="D21" s="24" t="s">
        <v>49</v>
      </c>
      <c r="E21" s="25">
        <f>(E8+E9+E12)*0.003</f>
        <v>73359.030395039998</v>
      </c>
      <c r="F21" s="24" t="s">
        <v>56</v>
      </c>
    </row>
    <row r="22" spans="1:6">
      <c r="A22" s="107"/>
      <c r="B22" s="97"/>
      <c r="C22" s="17" t="s">
        <v>44</v>
      </c>
      <c r="D22" s="1" t="s">
        <v>56</v>
      </c>
      <c r="E22" s="6">
        <f>SUM(E12:E21)</f>
        <v>1392608.5455891443</v>
      </c>
      <c r="F22" s="1" t="s">
        <v>56</v>
      </c>
    </row>
    <row r="23" spans="1:6">
      <c r="A23" s="108"/>
      <c r="B23" s="109" t="s">
        <v>59</v>
      </c>
      <c r="C23" s="110"/>
      <c r="D23" s="1" t="s">
        <v>56</v>
      </c>
      <c r="E23" s="6">
        <f>E8+E11+E22</f>
        <v>26837289.366869148</v>
      </c>
      <c r="F23" s="1" t="s">
        <v>56</v>
      </c>
    </row>
    <row r="24" spans="1:6">
      <c r="A24" s="97" t="s">
        <v>30</v>
      </c>
      <c r="B24" s="97"/>
      <c r="C24" s="97"/>
      <c r="D24" s="1" t="s">
        <v>12</v>
      </c>
      <c r="E24" s="6">
        <f>E23*0.06</f>
        <v>1610237.3620121488</v>
      </c>
      <c r="F24" s="1"/>
    </row>
    <row r="25" spans="1:6">
      <c r="A25" s="97" t="s">
        <v>41</v>
      </c>
      <c r="B25" s="97"/>
      <c r="C25" s="97"/>
      <c r="D25" s="1" t="s">
        <v>29</v>
      </c>
      <c r="E25" s="6">
        <f>(E11+E22+E24)*0.1051</f>
        <v>1520803.2794308562</v>
      </c>
      <c r="F25" s="1"/>
    </row>
    <row r="26" spans="1:6">
      <c r="A26" s="97" t="s">
        <v>31</v>
      </c>
      <c r="B26" s="97"/>
      <c r="C26" s="97"/>
      <c r="D26" s="1" t="s">
        <v>56</v>
      </c>
      <c r="E26" s="6">
        <f>내역서!L50</f>
        <v>183728</v>
      </c>
      <c r="F26" s="1" t="s">
        <v>56</v>
      </c>
    </row>
    <row r="27" spans="1:6">
      <c r="A27" s="97" t="s">
        <v>43</v>
      </c>
      <c r="B27" s="97"/>
      <c r="C27" s="97"/>
      <c r="D27" s="1" t="s">
        <v>56</v>
      </c>
      <c r="E27" s="6">
        <f>SUM(E23:E26)</f>
        <v>30152058.008312151</v>
      </c>
      <c r="F27" s="1" t="s">
        <v>56</v>
      </c>
    </row>
    <row r="28" spans="1:6">
      <c r="A28" s="97" t="s">
        <v>20</v>
      </c>
      <c r="B28" s="97"/>
      <c r="C28" s="97"/>
      <c r="D28" s="1" t="s">
        <v>8</v>
      </c>
      <c r="E28" s="6">
        <f>E27*0.1</f>
        <v>3015205.8008312155</v>
      </c>
      <c r="F28" s="1" t="s">
        <v>56</v>
      </c>
    </row>
    <row r="29" spans="1:6">
      <c r="A29" s="111" t="s">
        <v>47</v>
      </c>
      <c r="B29" s="111"/>
      <c r="C29" s="111"/>
      <c r="D29" s="14" t="s">
        <v>56</v>
      </c>
      <c r="E29" s="15">
        <f>ROUNDDOWN(E28+E27,-3)</f>
        <v>33167000</v>
      </c>
      <c r="F29" s="14" t="s">
        <v>65</v>
      </c>
    </row>
  </sheetData>
  <mergeCells count="16">
    <mergeCell ref="A25:C25"/>
    <mergeCell ref="A26:C26"/>
    <mergeCell ref="A27:C27"/>
    <mergeCell ref="A28:C28"/>
    <mergeCell ref="A29:C29"/>
    <mergeCell ref="A24:C24"/>
    <mergeCell ref="A1:F1"/>
    <mergeCell ref="A3:C4"/>
    <mergeCell ref="D3:D4"/>
    <mergeCell ref="E3:E4"/>
    <mergeCell ref="F3:F4"/>
    <mergeCell ref="A5:A23"/>
    <mergeCell ref="B5:B8"/>
    <mergeCell ref="B9:B11"/>
    <mergeCell ref="B12:B22"/>
    <mergeCell ref="B23:C23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M52"/>
  <sheetViews>
    <sheetView view="pageBreakPreview" zoomScale="70" zoomScaleNormal="70" zoomScaleSheetLayoutView="70" workbookViewId="0">
      <pane ySplit="4" topLeftCell="A26" activePane="bottomLeft" state="frozen"/>
      <selection pane="bottomLeft" activeCell="F37" sqref="F37"/>
    </sheetView>
  </sheetViews>
  <sheetFormatPr defaultColWidth="9" defaultRowHeight="16.5"/>
  <cols>
    <col min="1" max="1" width="36.875" customWidth="1"/>
    <col min="2" max="2" width="28" bestFit="1" customWidth="1"/>
    <col min="3" max="3" width="7" customWidth="1"/>
    <col min="4" max="4" width="9.75" style="29" bestFit="1" customWidth="1"/>
    <col min="5" max="5" width="11" bestFit="1" customWidth="1"/>
    <col min="6" max="6" width="13.625" bestFit="1" customWidth="1"/>
    <col min="7" max="7" width="12.375" bestFit="1" customWidth="1"/>
    <col min="8" max="8" width="12.625" bestFit="1" customWidth="1"/>
    <col min="9" max="9" width="10.625" bestFit="1" customWidth="1"/>
    <col min="10" max="11" width="12.375" bestFit="1" customWidth="1"/>
    <col min="12" max="12" width="13.625" bestFit="1" customWidth="1"/>
    <col min="13" max="13" width="17.5" bestFit="1" customWidth="1"/>
  </cols>
  <sheetData>
    <row r="1" spans="1:13" ht="31.5">
      <c r="A1" s="98" t="s">
        <v>101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>
      <c r="A2" s="57" t="s">
        <v>228</v>
      </c>
      <c r="B2" s="9"/>
      <c r="C2" s="9"/>
      <c r="E2" s="9"/>
      <c r="F2" s="9"/>
      <c r="G2" s="9"/>
      <c r="H2" s="9"/>
      <c r="I2" s="9"/>
      <c r="J2" s="9"/>
      <c r="K2" s="9"/>
      <c r="L2" s="9"/>
      <c r="M2" s="9" t="s">
        <v>17</v>
      </c>
    </row>
    <row r="3" spans="1:13">
      <c r="A3" s="112" t="s">
        <v>18</v>
      </c>
      <c r="B3" s="112" t="s">
        <v>19</v>
      </c>
      <c r="C3" s="112" t="s">
        <v>52</v>
      </c>
      <c r="D3" s="112" t="s">
        <v>62</v>
      </c>
      <c r="E3" s="112" t="s">
        <v>40</v>
      </c>
      <c r="F3" s="112"/>
      <c r="G3" s="112" t="s">
        <v>39</v>
      </c>
      <c r="H3" s="112"/>
      <c r="I3" s="112" t="s">
        <v>16</v>
      </c>
      <c r="J3" s="112"/>
      <c r="K3" s="112" t="s">
        <v>10</v>
      </c>
      <c r="L3" s="112"/>
      <c r="M3" s="112" t="s">
        <v>57</v>
      </c>
    </row>
    <row r="4" spans="1:13">
      <c r="A4" s="112"/>
      <c r="B4" s="112"/>
      <c r="C4" s="112"/>
      <c r="D4" s="112"/>
      <c r="E4" s="8" t="s">
        <v>36</v>
      </c>
      <c r="F4" s="8" t="s">
        <v>37</v>
      </c>
      <c r="G4" s="8" t="s">
        <v>36</v>
      </c>
      <c r="H4" s="8" t="s">
        <v>37</v>
      </c>
      <c r="I4" s="8" t="s">
        <v>36</v>
      </c>
      <c r="J4" s="8" t="s">
        <v>37</v>
      </c>
      <c r="K4" s="8" t="s">
        <v>36</v>
      </c>
      <c r="L4" s="8" t="s">
        <v>37</v>
      </c>
      <c r="M4" s="112"/>
    </row>
    <row r="5" spans="1:13" ht="22.5" customHeight="1">
      <c r="A5" s="67" t="s">
        <v>66</v>
      </c>
      <c r="B5" s="62"/>
      <c r="C5" s="62"/>
      <c r="D5" s="68"/>
      <c r="E5" s="69"/>
      <c r="F5" s="69"/>
      <c r="G5" s="69"/>
      <c r="H5" s="69"/>
      <c r="I5" s="69"/>
      <c r="J5" s="69"/>
      <c r="K5" s="69"/>
      <c r="L5" s="69"/>
      <c r="M5" s="70"/>
    </row>
    <row r="6" spans="1:13" ht="22.5" customHeight="1">
      <c r="A6" s="1" t="s">
        <v>120</v>
      </c>
      <c r="B6" s="1" t="s">
        <v>121</v>
      </c>
      <c r="C6" s="30" t="s">
        <v>122</v>
      </c>
      <c r="D6" s="18">
        <v>2</v>
      </c>
      <c r="E6" s="6">
        <f>INDEX(일위대가!$A$1:$O$205,MATCH(M6,일위대가!$O:$O,0),7)</f>
        <v>33400</v>
      </c>
      <c r="F6" s="6">
        <f>D6*E6</f>
        <v>66800</v>
      </c>
      <c r="G6" s="6">
        <f>INDEX(일위대가!$A$1:$O$205,MATCH(M6,일위대가!$O:$O,0),9)</f>
        <v>53739</v>
      </c>
      <c r="H6" s="6">
        <f>D6*G6</f>
        <v>107478</v>
      </c>
      <c r="I6" s="6">
        <f>INDEX(일위대가!$A$1:$O$205,MATCH(M6,일위대가!$O:$O,0),11)</f>
        <v>0</v>
      </c>
      <c r="J6" s="6">
        <f>D6*I6</f>
        <v>0</v>
      </c>
      <c r="K6" s="6">
        <f t="shared" ref="K6:L6" si="0">SUM(E6,G6,I6)</f>
        <v>87139</v>
      </c>
      <c r="L6" s="6">
        <f t="shared" si="0"/>
        <v>174278</v>
      </c>
      <c r="M6" s="55" t="s">
        <v>123</v>
      </c>
    </row>
    <row r="7" spans="1:13" ht="22.5" customHeight="1">
      <c r="A7" s="1"/>
      <c r="B7" s="1"/>
      <c r="C7" s="56"/>
      <c r="D7" s="18"/>
      <c r="E7" s="6"/>
      <c r="F7" s="6">
        <f t="shared" ref="F7:F10" si="1">D7*E7</f>
        <v>0</v>
      </c>
      <c r="G7" s="6"/>
      <c r="H7" s="6">
        <f t="shared" ref="H7:H10" si="2">D7*G7</f>
        <v>0</v>
      </c>
      <c r="I7" s="6"/>
      <c r="J7" s="6">
        <f t="shared" ref="J7:J10" si="3">D7*I7</f>
        <v>0</v>
      </c>
      <c r="K7" s="6">
        <f t="shared" ref="K7:K11" si="4">SUM(E7,G7,I7)</f>
        <v>0</v>
      </c>
      <c r="L7" s="6">
        <f t="shared" ref="L7:L11" si="5">SUM(F7,H7,J7)</f>
        <v>0</v>
      </c>
      <c r="M7" s="5"/>
    </row>
    <row r="8" spans="1:13" ht="22.5" customHeight="1">
      <c r="A8" s="76" t="s">
        <v>203</v>
      </c>
      <c r="B8" s="76"/>
      <c r="C8" s="11"/>
      <c r="D8" s="19"/>
      <c r="E8" s="12"/>
      <c r="F8" s="12">
        <f>SUM(F6:F7)</f>
        <v>66800</v>
      </c>
      <c r="G8" s="12"/>
      <c r="H8" s="12">
        <f>SUM(H6:H7)</f>
        <v>107478</v>
      </c>
      <c r="I8" s="12"/>
      <c r="J8" s="12">
        <f>SUM(J6:J7)</f>
        <v>0</v>
      </c>
      <c r="K8" s="12">
        <f t="shared" si="4"/>
        <v>0</v>
      </c>
      <c r="L8" s="12">
        <f t="shared" si="5"/>
        <v>174278</v>
      </c>
      <c r="M8" s="10"/>
    </row>
    <row r="9" spans="1:13" ht="22.5" customHeight="1">
      <c r="A9" s="67" t="s">
        <v>124</v>
      </c>
      <c r="B9" s="62"/>
      <c r="C9" s="62"/>
      <c r="D9" s="68"/>
      <c r="E9" s="69"/>
      <c r="F9" s="69"/>
      <c r="G9" s="69"/>
      <c r="H9" s="69"/>
      <c r="I9" s="69"/>
      <c r="J9" s="69"/>
      <c r="K9" s="69"/>
      <c r="L9" s="69"/>
      <c r="M9" s="70"/>
    </row>
    <row r="10" spans="1:13" ht="22.5" customHeight="1">
      <c r="A10" s="1" t="s">
        <v>126</v>
      </c>
      <c r="B10" s="1" t="s">
        <v>127</v>
      </c>
      <c r="C10" s="56" t="s">
        <v>50</v>
      </c>
      <c r="D10" s="18">
        <v>566.6</v>
      </c>
      <c r="E10" s="6">
        <v>6000</v>
      </c>
      <c r="F10" s="6">
        <f t="shared" si="1"/>
        <v>3399600</v>
      </c>
      <c r="G10" s="6"/>
      <c r="H10" s="6">
        <f t="shared" si="2"/>
        <v>0</v>
      </c>
      <c r="I10" s="6"/>
      <c r="J10" s="6">
        <f t="shared" si="3"/>
        <v>0</v>
      </c>
      <c r="K10" s="6">
        <f t="shared" si="4"/>
        <v>6000</v>
      </c>
      <c r="L10" s="6">
        <f t="shared" si="5"/>
        <v>3399600</v>
      </c>
      <c r="M10" s="5" t="s">
        <v>128</v>
      </c>
    </row>
    <row r="11" spans="1:13" ht="22.5" customHeight="1">
      <c r="A11" s="1" t="s">
        <v>220</v>
      </c>
      <c r="B11" s="1" t="s">
        <v>221</v>
      </c>
      <c r="C11" s="84" t="s">
        <v>50</v>
      </c>
      <c r="D11" s="18">
        <v>566.6</v>
      </c>
      <c r="E11" s="6">
        <f>INDEX(일위대가!$A$1:$O$205,MATCH(M11,일위대가!$O:$O,0),7)</f>
        <v>120.75000000000001</v>
      </c>
      <c r="F11" s="6">
        <f>D11*E11</f>
        <v>68416.950000000012</v>
      </c>
      <c r="G11" s="6">
        <f>INDEX(일위대가!$A$1:$O$205,MATCH(M11,일위대가!$O:$O,0),9)</f>
        <v>7176.74</v>
      </c>
      <c r="H11" s="6">
        <f>D11*G11</f>
        <v>4066340.8840000001</v>
      </c>
      <c r="I11" s="6">
        <f>INDEX(일위대가!$A$1:$O$205,MATCH(M11,일위대가!$O:$O,0),11)</f>
        <v>0</v>
      </c>
      <c r="J11" s="6">
        <f>D11*I11</f>
        <v>0</v>
      </c>
      <c r="K11" s="6">
        <f t="shared" si="4"/>
        <v>7297.49</v>
      </c>
      <c r="L11" s="6">
        <f t="shared" si="5"/>
        <v>4134757.8340000003</v>
      </c>
      <c r="M11" s="55" t="s">
        <v>389</v>
      </c>
    </row>
    <row r="12" spans="1:13" ht="22.5" customHeight="1">
      <c r="A12" s="1" t="s">
        <v>362</v>
      </c>
      <c r="B12" s="1" t="s">
        <v>363</v>
      </c>
      <c r="C12" s="84" t="s">
        <v>50</v>
      </c>
      <c r="D12" s="18">
        <v>151.72</v>
      </c>
      <c r="E12" s="6">
        <v>16232</v>
      </c>
      <c r="F12" s="6">
        <f t="shared" ref="F12" si="6">D12*E12</f>
        <v>2462719.04</v>
      </c>
      <c r="G12" s="6">
        <v>11754</v>
      </c>
      <c r="H12" s="6">
        <f t="shared" ref="H12" si="7">D12*G12</f>
        <v>1783316.88</v>
      </c>
      <c r="I12" s="6"/>
      <c r="J12" s="6">
        <f t="shared" ref="J12" si="8">D12*I12</f>
        <v>0</v>
      </c>
      <c r="K12" s="6">
        <f t="shared" ref="K12:L13" si="9">SUM(E12,G12,I12)</f>
        <v>27986</v>
      </c>
      <c r="L12" s="6">
        <f t="shared" si="9"/>
        <v>4246035.92</v>
      </c>
      <c r="M12" s="5" t="s">
        <v>364</v>
      </c>
    </row>
    <row r="13" spans="1:13" ht="22.5" customHeight="1">
      <c r="A13" s="71" t="s">
        <v>351</v>
      </c>
      <c r="B13" s="1" t="s">
        <v>358</v>
      </c>
      <c r="C13" s="83" t="s">
        <v>360</v>
      </c>
      <c r="D13" s="18">
        <v>6</v>
      </c>
      <c r="E13" s="6">
        <v>390000</v>
      </c>
      <c r="F13" s="6">
        <f t="shared" ref="F13:F19" si="10">D13*E13</f>
        <v>2340000</v>
      </c>
      <c r="G13" s="6"/>
      <c r="H13" s="6">
        <f t="shared" ref="H13:H19" si="11">D13*G13</f>
        <v>0</v>
      </c>
      <c r="I13" s="6"/>
      <c r="J13" s="6">
        <f t="shared" ref="J13:J19" si="12">D13*I13</f>
        <v>0</v>
      </c>
      <c r="K13" s="6">
        <f t="shared" si="9"/>
        <v>390000</v>
      </c>
      <c r="L13" s="6">
        <f t="shared" si="9"/>
        <v>2340000</v>
      </c>
      <c r="M13" s="55" t="s">
        <v>365</v>
      </c>
    </row>
    <row r="14" spans="1:13" ht="22.5" customHeight="1">
      <c r="A14" s="71" t="s">
        <v>355</v>
      </c>
      <c r="B14" s="1" t="s">
        <v>356</v>
      </c>
      <c r="C14" s="83" t="s">
        <v>360</v>
      </c>
      <c r="D14" s="18">
        <v>1</v>
      </c>
      <c r="E14" s="6">
        <v>690000</v>
      </c>
      <c r="F14" s="6">
        <f t="shared" si="10"/>
        <v>690000</v>
      </c>
      <c r="G14" s="6"/>
      <c r="H14" s="6">
        <f t="shared" si="11"/>
        <v>0</v>
      </c>
      <c r="I14" s="6"/>
      <c r="J14" s="6">
        <f t="shared" si="12"/>
        <v>0</v>
      </c>
      <c r="K14" s="6">
        <f t="shared" ref="K14" si="13">SUM(E14,G14,I14)</f>
        <v>690000</v>
      </c>
      <c r="L14" s="6">
        <f t="shared" ref="L14" si="14">SUM(F14,H14,J14)</f>
        <v>690000</v>
      </c>
      <c r="M14" s="55" t="s">
        <v>365</v>
      </c>
    </row>
    <row r="15" spans="1:13" ht="22.5" customHeight="1">
      <c r="A15" s="1" t="s">
        <v>242</v>
      </c>
      <c r="B15" s="1" t="s">
        <v>243</v>
      </c>
      <c r="C15" s="84" t="s">
        <v>50</v>
      </c>
      <c r="D15" s="18">
        <v>51</v>
      </c>
      <c r="E15" s="6">
        <f>INDEX(일위대가!$A$1:$O$205,MATCH(M15,일위대가!$O:$O,0),7)</f>
        <v>2010</v>
      </c>
      <c r="F15" s="6">
        <f t="shared" si="10"/>
        <v>102510</v>
      </c>
      <c r="G15" s="6">
        <f>INDEX(일위대가!$A$1:$O$205,MATCH(M15,일위대가!$O:$O,0),9)</f>
        <v>5863</v>
      </c>
      <c r="H15" s="6">
        <f t="shared" si="11"/>
        <v>299013</v>
      </c>
      <c r="I15" s="6">
        <f>INDEX(일위대가!$A$1:$O$205,MATCH(M15,일위대가!$O:$O,0),11)</f>
        <v>0</v>
      </c>
      <c r="J15" s="6">
        <f t="shared" si="12"/>
        <v>0</v>
      </c>
      <c r="K15" s="6">
        <f t="shared" ref="K15:K19" si="15">SUM(E15,G15,I15)</f>
        <v>7873</v>
      </c>
      <c r="L15" s="6">
        <f t="shared" ref="L15:L19" si="16">SUM(F15,H15,J15)</f>
        <v>401523</v>
      </c>
      <c r="M15" s="55" t="s">
        <v>391</v>
      </c>
    </row>
    <row r="16" spans="1:13" ht="22.5" customHeight="1">
      <c r="A16" s="1" t="s">
        <v>244</v>
      </c>
      <c r="B16" s="1" t="s">
        <v>243</v>
      </c>
      <c r="C16" s="84" t="s">
        <v>50</v>
      </c>
      <c r="D16" s="18">
        <v>25.96</v>
      </c>
      <c r="E16" s="6">
        <f>INDEX(일위대가!$A$1:$O$205,MATCH(M16,일위대가!$O:$O,0),7)</f>
        <v>2021</v>
      </c>
      <c r="F16" s="6">
        <f t="shared" si="10"/>
        <v>52465.16</v>
      </c>
      <c r="G16" s="6">
        <f>INDEX(일위대가!$A$1:$O$205,MATCH(M16,일위대가!$O:$O,0),9)</f>
        <v>7036</v>
      </c>
      <c r="H16" s="6">
        <f t="shared" si="11"/>
        <v>182654.56</v>
      </c>
      <c r="I16" s="6">
        <f>INDEX(일위대가!$A$1:$O$205,MATCH(M16,일위대가!$O:$O,0),11)</f>
        <v>0</v>
      </c>
      <c r="J16" s="6">
        <f t="shared" si="12"/>
        <v>0</v>
      </c>
      <c r="K16" s="6">
        <f t="shared" si="15"/>
        <v>9057</v>
      </c>
      <c r="L16" s="6">
        <f t="shared" si="16"/>
        <v>235119.72</v>
      </c>
      <c r="M16" s="55" t="s">
        <v>392</v>
      </c>
    </row>
    <row r="17" spans="1:13" ht="22.5" customHeight="1">
      <c r="A17" s="1" t="s">
        <v>257</v>
      </c>
      <c r="B17" s="1" t="s">
        <v>258</v>
      </c>
      <c r="C17" s="84" t="s">
        <v>50</v>
      </c>
      <c r="D17" s="18">
        <v>116.75999999999999</v>
      </c>
      <c r="E17" s="6">
        <f>INDEX(일위대가!$A$1:$O$205,MATCH(M17,일위대가!$O:$O,0),7)</f>
        <v>9954</v>
      </c>
      <c r="F17" s="6">
        <f t="shared" si="10"/>
        <v>1162229.0399999998</v>
      </c>
      <c r="G17" s="6">
        <f>INDEX(일위대가!$A$1:$O$205,MATCH(M17,일위대가!$O:$O,0),9)</f>
        <v>2499</v>
      </c>
      <c r="H17" s="6">
        <f t="shared" si="11"/>
        <v>291783.24</v>
      </c>
      <c r="I17" s="6">
        <f>INDEX(일위대가!$A$1:$O$205,MATCH(M17,일위대가!$O:$O,0),11)</f>
        <v>0</v>
      </c>
      <c r="J17" s="6">
        <f t="shared" si="12"/>
        <v>0</v>
      </c>
      <c r="K17" s="6">
        <f t="shared" si="15"/>
        <v>12453</v>
      </c>
      <c r="L17" s="6">
        <f t="shared" si="16"/>
        <v>1454012.2799999998</v>
      </c>
      <c r="M17" s="55" t="s">
        <v>393</v>
      </c>
    </row>
    <row r="18" spans="1:13" ht="22.5" customHeight="1">
      <c r="A18" s="1" t="s">
        <v>206</v>
      </c>
      <c r="B18" s="1" t="s">
        <v>207</v>
      </c>
      <c r="C18" s="84" t="s">
        <v>50</v>
      </c>
      <c r="D18" s="18">
        <v>133.80000000000001</v>
      </c>
      <c r="E18" s="6">
        <f>INDEX(일위대가!$A$1:$O$205,MATCH(M18,일위대가!$O:$O,0),7)</f>
        <v>2912</v>
      </c>
      <c r="F18" s="6">
        <f t="shared" si="10"/>
        <v>389625.60000000003</v>
      </c>
      <c r="G18" s="6">
        <f>INDEX(일위대가!$A$1:$O$205,MATCH(M18,일위대가!$O:$O,0),9)</f>
        <v>3313</v>
      </c>
      <c r="H18" s="6">
        <f t="shared" si="11"/>
        <v>443279.4</v>
      </c>
      <c r="I18" s="6">
        <f>INDEX(일위대가!$A$1:$O$205,MATCH(M18,일위대가!$O:$O,0),11)</f>
        <v>0</v>
      </c>
      <c r="J18" s="6">
        <f t="shared" si="12"/>
        <v>0</v>
      </c>
      <c r="K18" s="6">
        <f t="shared" si="15"/>
        <v>6225</v>
      </c>
      <c r="L18" s="6">
        <f t="shared" si="16"/>
        <v>832905</v>
      </c>
      <c r="M18" s="55" t="s">
        <v>394</v>
      </c>
    </row>
    <row r="19" spans="1:13" ht="22.5" customHeight="1">
      <c r="A19" s="1" t="s">
        <v>216</v>
      </c>
      <c r="B19" s="1" t="s">
        <v>207</v>
      </c>
      <c r="C19" s="84" t="s">
        <v>50</v>
      </c>
      <c r="D19" s="18">
        <v>53.16</v>
      </c>
      <c r="E19" s="6">
        <f>INDEX(일위대가!$A$1:$O$205,MATCH(M19,일위대가!$O:$O,0),7)</f>
        <v>2987</v>
      </c>
      <c r="F19" s="6">
        <f t="shared" si="10"/>
        <v>158788.91999999998</v>
      </c>
      <c r="G19" s="6">
        <f>INDEX(일위대가!$A$1:$O$205,MATCH(M19,일위대가!$O:$O,0),9)</f>
        <v>4759</v>
      </c>
      <c r="H19" s="6">
        <f t="shared" si="11"/>
        <v>252988.43999999997</v>
      </c>
      <c r="I19" s="6">
        <f>INDEX(일위대가!$A$1:$O$205,MATCH(M19,일위대가!$O:$O,0),11)</f>
        <v>0</v>
      </c>
      <c r="J19" s="6">
        <f t="shared" si="12"/>
        <v>0</v>
      </c>
      <c r="K19" s="6">
        <f t="shared" si="15"/>
        <v>7746</v>
      </c>
      <c r="L19" s="6">
        <f t="shared" si="16"/>
        <v>411777.36</v>
      </c>
      <c r="M19" s="55" t="s">
        <v>395</v>
      </c>
    </row>
    <row r="20" spans="1:13" ht="22.5" customHeight="1">
      <c r="A20" s="1"/>
      <c r="B20" s="1"/>
      <c r="C20" s="84"/>
      <c r="D20" s="18"/>
      <c r="E20" s="6"/>
      <c r="F20" s="6"/>
      <c r="G20" s="6"/>
      <c r="H20" s="6"/>
      <c r="I20" s="6"/>
      <c r="J20" s="6"/>
      <c r="K20" s="6"/>
      <c r="L20" s="6"/>
      <c r="M20" s="5"/>
    </row>
    <row r="21" spans="1:13" ht="22.5" customHeight="1">
      <c r="A21" s="76" t="s">
        <v>203</v>
      </c>
      <c r="B21" s="76"/>
      <c r="C21" s="11"/>
      <c r="D21" s="19"/>
      <c r="E21" s="12"/>
      <c r="F21" s="12">
        <f>SUM(F10:F20)</f>
        <v>10826354.709999999</v>
      </c>
      <c r="G21" s="12"/>
      <c r="H21" s="12">
        <f t="shared" ref="H21:L21" si="17">SUM(H10:H20)</f>
        <v>7319376.404000001</v>
      </c>
      <c r="I21" s="12"/>
      <c r="J21" s="12">
        <f t="shared" si="17"/>
        <v>0</v>
      </c>
      <c r="K21" s="12"/>
      <c r="L21" s="12">
        <f t="shared" si="17"/>
        <v>18145731.114</v>
      </c>
      <c r="M21" s="96"/>
    </row>
    <row r="22" spans="1:13" ht="22.5" customHeight="1">
      <c r="A22" s="67" t="s">
        <v>256</v>
      </c>
      <c r="B22" s="62"/>
      <c r="C22" s="62"/>
      <c r="D22" s="68"/>
      <c r="E22" s="69"/>
      <c r="F22" s="69"/>
      <c r="G22" s="69"/>
      <c r="H22" s="69"/>
      <c r="I22" s="69"/>
      <c r="J22" s="69"/>
      <c r="K22" s="69"/>
      <c r="L22" s="69"/>
      <c r="M22" s="70"/>
    </row>
    <row r="23" spans="1:13" ht="22.5" customHeight="1">
      <c r="A23" s="1" t="s">
        <v>229</v>
      </c>
      <c r="B23" s="1" t="s">
        <v>230</v>
      </c>
      <c r="C23" s="84" t="s">
        <v>50</v>
      </c>
      <c r="D23" s="18">
        <v>243.15000000000003</v>
      </c>
      <c r="E23" s="6">
        <f>INDEX(일위대가!$A$1:$O$205,MATCH(M23,일위대가!$O:$O,0),7)</f>
        <v>585</v>
      </c>
      <c r="F23" s="6">
        <f>D23*E23</f>
        <v>142242.75000000003</v>
      </c>
      <c r="G23" s="6">
        <f>INDEX(일위대가!$A$1:$O$205,MATCH(M23,일위대가!$O:$O,0),9)</f>
        <v>3539</v>
      </c>
      <c r="H23" s="6">
        <f>D23*G23</f>
        <v>860507.85000000009</v>
      </c>
      <c r="I23" s="6">
        <f>INDEX(일위대가!$A$1:$O$205,MATCH(M23,일위대가!$O:$O,0),11)</f>
        <v>0</v>
      </c>
      <c r="J23" s="6">
        <f>D23*I23</f>
        <v>0</v>
      </c>
      <c r="K23" s="6">
        <f t="shared" ref="K23:K26" si="18">SUM(E23,G23,I23)</f>
        <v>4124</v>
      </c>
      <c r="L23" s="6">
        <f t="shared" ref="L23:L26" si="19">SUM(F23,H23,J23)</f>
        <v>1002750.6000000001</v>
      </c>
      <c r="M23" s="55" t="s">
        <v>396</v>
      </c>
    </row>
    <row r="24" spans="1:13" ht="22.5" customHeight="1">
      <c r="A24" s="1" t="s">
        <v>235</v>
      </c>
      <c r="B24" s="1" t="s">
        <v>276</v>
      </c>
      <c r="C24" s="84" t="s">
        <v>50</v>
      </c>
      <c r="D24" s="18">
        <v>243.15000000000003</v>
      </c>
      <c r="E24" s="6">
        <f>INDEX(일위대가!$A$1:$O$205,MATCH(M24,일위대가!$O:$O,0),7)</f>
        <v>119</v>
      </c>
      <c r="F24" s="6">
        <f>D24*E24</f>
        <v>28934.850000000006</v>
      </c>
      <c r="G24" s="6">
        <f>INDEX(일위대가!$A$1:$O$205,MATCH(M24,일위대가!$O:$O,0),9)</f>
        <v>1309</v>
      </c>
      <c r="H24" s="6">
        <f>D24*G24</f>
        <v>318283.35000000003</v>
      </c>
      <c r="I24" s="6">
        <f>INDEX(일위대가!$A$1:$O$205,MATCH(M24,일위대가!$O:$O,0),11)</f>
        <v>0</v>
      </c>
      <c r="J24" s="6">
        <f>D24*I24</f>
        <v>0</v>
      </c>
      <c r="K24" s="6">
        <f t="shared" si="18"/>
        <v>1428</v>
      </c>
      <c r="L24" s="6">
        <f t="shared" si="19"/>
        <v>347218.20000000007</v>
      </c>
      <c r="M24" s="55" t="s">
        <v>398</v>
      </c>
    </row>
    <row r="25" spans="1:13" ht="22.5" customHeight="1">
      <c r="A25" s="1" t="s">
        <v>265</v>
      </c>
      <c r="B25" s="1" t="s">
        <v>266</v>
      </c>
      <c r="C25" s="84" t="s">
        <v>50</v>
      </c>
      <c r="D25" s="18">
        <v>64.58</v>
      </c>
      <c r="E25" s="6">
        <f>INDEX(일위대가!$A$1:$O$205,MATCH(M25,일위대가!$O:$O,0),7)</f>
        <v>812</v>
      </c>
      <c r="F25" s="6">
        <f>D25*E25</f>
        <v>52438.96</v>
      </c>
      <c r="G25" s="6">
        <f>INDEX(일위대가!$A$1:$O$205,MATCH(M25,일위대가!$O:$O,0),9)</f>
        <v>3491</v>
      </c>
      <c r="H25" s="6">
        <f>D25*G25</f>
        <v>225448.78</v>
      </c>
      <c r="I25" s="6">
        <f>INDEX(일위대가!$A$1:$O$205,MATCH(M25,일위대가!$O:$O,0),11)</f>
        <v>0</v>
      </c>
      <c r="J25" s="6">
        <f>D25*I25</f>
        <v>0</v>
      </c>
      <c r="K25" s="6">
        <f t="shared" si="18"/>
        <v>4303</v>
      </c>
      <c r="L25" s="6">
        <f t="shared" si="19"/>
        <v>277887.74</v>
      </c>
      <c r="M25" s="55" t="s">
        <v>397</v>
      </c>
    </row>
    <row r="26" spans="1:13" ht="22.5" customHeight="1">
      <c r="A26" s="1" t="s">
        <v>235</v>
      </c>
      <c r="B26" s="1" t="s">
        <v>277</v>
      </c>
      <c r="C26" s="84" t="s">
        <v>50</v>
      </c>
      <c r="D26" s="18">
        <v>64.58</v>
      </c>
      <c r="E26" s="6">
        <f>INDEX(일위대가!$A$1:$O$205,MATCH(M26,일위대가!$O:$O,0),7)</f>
        <v>86</v>
      </c>
      <c r="F26" s="6">
        <f>D26*E26</f>
        <v>5553.88</v>
      </c>
      <c r="G26" s="6">
        <f>INDEX(일위대가!$A$1:$O$205,MATCH(M26,일위대가!$O:$O,0),9)</f>
        <v>1831</v>
      </c>
      <c r="H26" s="6">
        <f>D26*G26</f>
        <v>118245.98</v>
      </c>
      <c r="I26" s="6">
        <f>INDEX(일위대가!$A$1:$O$205,MATCH(M26,일위대가!$O:$O,0),11)</f>
        <v>0</v>
      </c>
      <c r="J26" s="6">
        <f>D26*I26</f>
        <v>0</v>
      </c>
      <c r="K26" s="6">
        <f t="shared" si="18"/>
        <v>1917</v>
      </c>
      <c r="L26" s="6">
        <f t="shared" si="19"/>
        <v>123799.86</v>
      </c>
      <c r="M26" s="55" t="s">
        <v>399</v>
      </c>
    </row>
    <row r="27" spans="1:13" ht="22.5" customHeight="1">
      <c r="A27" s="1"/>
      <c r="B27" s="1"/>
      <c r="C27" s="84"/>
      <c r="D27" s="18"/>
      <c r="E27" s="6"/>
      <c r="F27" s="6"/>
      <c r="G27" s="6"/>
      <c r="H27" s="6"/>
      <c r="I27" s="6"/>
      <c r="J27" s="6"/>
      <c r="K27" s="6"/>
      <c r="L27" s="6"/>
      <c r="M27" s="5"/>
    </row>
    <row r="28" spans="1:13" ht="22.5" customHeight="1">
      <c r="A28" s="76" t="s">
        <v>203</v>
      </c>
      <c r="B28" s="76"/>
      <c r="C28" s="11"/>
      <c r="D28" s="19"/>
      <c r="E28" s="12"/>
      <c r="F28" s="12">
        <f>SUM(F23:F27)</f>
        <v>229170.44000000003</v>
      </c>
      <c r="G28" s="12"/>
      <c r="H28" s="12">
        <f t="shared" ref="H28:L28" si="20">SUM(H23:H27)</f>
        <v>1522485.9600000002</v>
      </c>
      <c r="I28" s="12"/>
      <c r="J28" s="12">
        <f t="shared" si="20"/>
        <v>0</v>
      </c>
      <c r="K28" s="12"/>
      <c r="L28" s="12">
        <f t="shared" si="20"/>
        <v>1751656.4000000004</v>
      </c>
      <c r="M28" s="96"/>
    </row>
    <row r="29" spans="1:13" ht="22.5" customHeight="1">
      <c r="A29" s="67" t="s">
        <v>309</v>
      </c>
      <c r="B29" s="62"/>
      <c r="C29" s="62"/>
      <c r="D29" s="68"/>
      <c r="E29" s="69"/>
      <c r="F29" s="69"/>
      <c r="G29" s="69"/>
      <c r="H29" s="69"/>
      <c r="I29" s="69"/>
      <c r="J29" s="69"/>
      <c r="K29" s="69"/>
      <c r="L29" s="69"/>
      <c r="M29" s="70"/>
    </row>
    <row r="30" spans="1:13" ht="22.5" customHeight="1">
      <c r="A30" s="1" t="s">
        <v>307</v>
      </c>
      <c r="B30" s="1" t="s">
        <v>308</v>
      </c>
      <c r="C30" s="84" t="s">
        <v>50</v>
      </c>
      <c r="D30" s="18">
        <v>42</v>
      </c>
      <c r="E30" s="6">
        <f>INDEX(일위대가!$A$1:$O$205,MATCH(M30,일위대가!$O:$O,0),7)</f>
        <v>14534</v>
      </c>
      <c r="F30" s="6">
        <f t="shared" ref="F30:F36" si="21">D30*E30</f>
        <v>610428</v>
      </c>
      <c r="G30" s="6">
        <f>INDEX(일위대가!$A$1:$O$205,MATCH(M30,일위대가!$O:$O,0),9)</f>
        <v>11064</v>
      </c>
      <c r="H30" s="6">
        <f t="shared" ref="H30:H36" si="22">D30*G30</f>
        <v>464688</v>
      </c>
      <c r="I30" s="6">
        <f>INDEX(일위대가!$A$1:$O$205,MATCH(M30,일위대가!$O:$O,0),11)</f>
        <v>0</v>
      </c>
      <c r="J30" s="6">
        <f t="shared" ref="J30:J36" si="23">D30*I30</f>
        <v>0</v>
      </c>
      <c r="K30" s="6">
        <f t="shared" ref="K30:K32" si="24">SUM(E30,G30,I30)</f>
        <v>25598</v>
      </c>
      <c r="L30" s="6">
        <f t="shared" ref="L30:L32" si="25">SUM(F30,H30,J30)</f>
        <v>1075116</v>
      </c>
      <c r="M30" s="55" t="s">
        <v>400</v>
      </c>
    </row>
    <row r="31" spans="1:13" ht="22.5" customHeight="1">
      <c r="A31" s="1" t="s">
        <v>315</v>
      </c>
      <c r="B31" s="1" t="s">
        <v>314</v>
      </c>
      <c r="C31" s="84" t="s">
        <v>50</v>
      </c>
      <c r="D31" s="18">
        <v>42</v>
      </c>
      <c r="E31" s="6">
        <f>INDEX(일위대가!$A$1:$O$205,MATCH(M31,일위대가!$O:$O,0),7)</f>
        <v>177.7</v>
      </c>
      <c r="F31" s="6">
        <f t="shared" si="21"/>
        <v>7463.4</v>
      </c>
      <c r="G31" s="6">
        <f>INDEX(일위대가!$A$1:$O$205,MATCH(M31,일위대가!$O:$O,0),9)</f>
        <v>0</v>
      </c>
      <c r="H31" s="6">
        <f t="shared" si="22"/>
        <v>0</v>
      </c>
      <c r="I31" s="6">
        <f>INDEX(일위대가!$A$1:$O$205,MATCH(M31,일위대가!$O:$O,0),11)</f>
        <v>0</v>
      </c>
      <c r="J31" s="6">
        <f t="shared" si="23"/>
        <v>0</v>
      </c>
      <c r="K31" s="6">
        <f t="shared" si="24"/>
        <v>177.7</v>
      </c>
      <c r="L31" s="6">
        <f t="shared" si="25"/>
        <v>7463.4</v>
      </c>
      <c r="M31" s="55" t="s">
        <v>401</v>
      </c>
    </row>
    <row r="32" spans="1:13" ht="22.5" customHeight="1">
      <c r="A32" s="1" t="s">
        <v>325</v>
      </c>
      <c r="B32" s="1" t="s">
        <v>326</v>
      </c>
      <c r="C32" s="84" t="s">
        <v>93</v>
      </c>
      <c r="D32" s="18">
        <v>5</v>
      </c>
      <c r="E32" s="6">
        <v>250000</v>
      </c>
      <c r="F32" s="6">
        <f t="shared" si="21"/>
        <v>1250000</v>
      </c>
      <c r="G32" s="6"/>
      <c r="H32" s="6">
        <f t="shared" si="22"/>
        <v>0</v>
      </c>
      <c r="I32" s="6"/>
      <c r="J32" s="6">
        <f t="shared" si="23"/>
        <v>0</v>
      </c>
      <c r="K32" s="6">
        <f t="shared" si="24"/>
        <v>250000</v>
      </c>
      <c r="L32" s="6">
        <f t="shared" si="25"/>
        <v>1250000</v>
      </c>
      <c r="M32" s="5" t="s">
        <v>327</v>
      </c>
    </row>
    <row r="33" spans="1:13" ht="22.5" customHeight="1">
      <c r="A33" s="1" t="s">
        <v>328</v>
      </c>
      <c r="B33" s="1" t="s">
        <v>338</v>
      </c>
      <c r="C33" s="84" t="s">
        <v>50</v>
      </c>
      <c r="D33" s="18">
        <v>2.262</v>
      </c>
      <c r="E33" s="6">
        <f>INDEX(일위대가!$A$1:$O$205,MATCH(M33,일위대가!$O:$O,0),7)</f>
        <v>36974.979999999996</v>
      </c>
      <c r="F33" s="6">
        <f t="shared" si="21"/>
        <v>83637.40475999999</v>
      </c>
      <c r="G33" s="6">
        <f>INDEX(일위대가!$A$1:$O$205,MATCH(M33,일위대가!$O:$O,0),9)</f>
        <v>73096</v>
      </c>
      <c r="H33" s="6">
        <f t="shared" si="22"/>
        <v>165343.152</v>
      </c>
      <c r="I33" s="6">
        <f>INDEX(일위대가!$A$1:$O$205,MATCH(M33,일위대가!$O:$O,0),11)</f>
        <v>0</v>
      </c>
      <c r="J33" s="6">
        <f t="shared" si="23"/>
        <v>0</v>
      </c>
      <c r="K33" s="6">
        <f t="shared" ref="K33:K36" si="26">SUM(E33,G33,I33)</f>
        <v>110070.98</v>
      </c>
      <c r="L33" s="6">
        <f t="shared" ref="L33:L36" si="27">SUM(F33,H33,J33)</f>
        <v>248980.55676000001</v>
      </c>
      <c r="M33" s="55" t="s">
        <v>402</v>
      </c>
    </row>
    <row r="34" spans="1:13" ht="22.5" customHeight="1">
      <c r="A34" s="1" t="s">
        <v>328</v>
      </c>
      <c r="B34" s="1" t="s">
        <v>340</v>
      </c>
      <c r="C34" s="84" t="s">
        <v>50</v>
      </c>
      <c r="D34" s="18">
        <v>2.472</v>
      </c>
      <c r="E34" s="6">
        <f>INDEX(일위대가!$A$1:$O$205,MATCH(M34,일위대가!$O:$O,0),7)</f>
        <v>84714.98000000001</v>
      </c>
      <c r="F34" s="6">
        <f t="shared" si="21"/>
        <v>209415.43056000004</v>
      </c>
      <c r="G34" s="6">
        <f>INDEX(일위대가!$A$1:$O$205,MATCH(M34,일위대가!$O:$O,0),9)</f>
        <v>73096</v>
      </c>
      <c r="H34" s="6">
        <f t="shared" si="22"/>
        <v>180693.31200000001</v>
      </c>
      <c r="I34" s="6">
        <f>INDEX(일위대가!$A$1:$O$205,MATCH(M34,일위대가!$O:$O,0),11)</f>
        <v>0</v>
      </c>
      <c r="J34" s="6">
        <f t="shared" si="23"/>
        <v>0</v>
      </c>
      <c r="K34" s="6">
        <f t="shared" si="26"/>
        <v>157810.98000000001</v>
      </c>
      <c r="L34" s="6">
        <f t="shared" si="27"/>
        <v>390108.74256000004</v>
      </c>
      <c r="M34" s="5" t="s">
        <v>403</v>
      </c>
    </row>
    <row r="35" spans="1:13" ht="22.5" customHeight="1">
      <c r="A35" s="1" t="s">
        <v>328</v>
      </c>
      <c r="B35" s="1" t="s">
        <v>342</v>
      </c>
      <c r="C35" s="84" t="s">
        <v>50</v>
      </c>
      <c r="D35" s="18">
        <v>2.6819999999999999</v>
      </c>
      <c r="E35" s="6">
        <f>INDEX(일위대가!$A$1:$O$292,MATCH(M35,일위대가!$O:$O,0),7)</f>
        <v>139274.98000000001</v>
      </c>
      <c r="F35" s="6">
        <f t="shared" si="21"/>
        <v>373535.49636000005</v>
      </c>
      <c r="G35" s="6">
        <f>INDEX(일위대가!$A$1:$O$292,MATCH(M35,일위대가!$O:$O,0),9)</f>
        <v>73096</v>
      </c>
      <c r="H35" s="6">
        <f t="shared" si="22"/>
        <v>196043.47200000001</v>
      </c>
      <c r="I35" s="6">
        <f>INDEX(일위대가!$A$1:$O$292,MATCH(M35,일위대가!$O:$O,0),11)</f>
        <v>0</v>
      </c>
      <c r="J35" s="6">
        <f t="shared" si="23"/>
        <v>0</v>
      </c>
      <c r="K35" s="6">
        <f t="shared" si="26"/>
        <v>212370.98</v>
      </c>
      <c r="L35" s="6">
        <f t="shared" si="27"/>
        <v>569578.96836000006</v>
      </c>
      <c r="M35" s="5" t="s">
        <v>404</v>
      </c>
    </row>
    <row r="36" spans="1:13" ht="22.5" customHeight="1">
      <c r="A36" s="1" t="s">
        <v>369</v>
      </c>
      <c r="B36" s="1" t="s">
        <v>373</v>
      </c>
      <c r="C36" s="84" t="s">
        <v>50</v>
      </c>
      <c r="D36" s="18">
        <v>13.02</v>
      </c>
      <c r="E36" s="6">
        <v>25000</v>
      </c>
      <c r="F36" s="6">
        <f t="shared" si="21"/>
        <v>325500</v>
      </c>
      <c r="G36" s="6"/>
      <c r="H36" s="6">
        <f t="shared" si="22"/>
        <v>0</v>
      </c>
      <c r="I36" s="6"/>
      <c r="J36" s="6">
        <f t="shared" si="23"/>
        <v>0</v>
      </c>
      <c r="K36" s="6">
        <f t="shared" si="26"/>
        <v>25000</v>
      </c>
      <c r="L36" s="6">
        <f t="shared" si="27"/>
        <v>325500</v>
      </c>
      <c r="M36" s="55" t="s">
        <v>405</v>
      </c>
    </row>
    <row r="37" spans="1:13" ht="22.5" customHeight="1">
      <c r="A37" s="76" t="s">
        <v>203</v>
      </c>
      <c r="B37" s="76"/>
      <c r="C37" s="11"/>
      <c r="D37" s="19"/>
      <c r="E37" s="12"/>
      <c r="F37" s="12">
        <f>SUM(F30:F36)</f>
        <v>2859979.7316800002</v>
      </c>
      <c r="G37" s="12"/>
      <c r="H37" s="12">
        <f>SUM(H30:H36)</f>
        <v>1006767.936</v>
      </c>
      <c r="I37" s="12"/>
      <c r="J37" s="12">
        <f>SUM(J30:J36)</f>
        <v>0</v>
      </c>
      <c r="K37" s="12"/>
      <c r="L37" s="12">
        <f>SUM(L30:L36)</f>
        <v>3866747.66768</v>
      </c>
      <c r="M37" s="96"/>
    </row>
    <row r="38" spans="1:13" ht="22.5" customHeight="1">
      <c r="A38" s="67" t="s">
        <v>323</v>
      </c>
      <c r="B38" s="62"/>
      <c r="C38" s="62"/>
      <c r="D38" s="68"/>
      <c r="E38" s="69"/>
      <c r="F38" s="69"/>
      <c r="G38" s="69"/>
      <c r="H38" s="69"/>
      <c r="I38" s="69"/>
      <c r="J38" s="69"/>
      <c r="K38" s="69"/>
      <c r="L38" s="69"/>
      <c r="M38" s="70"/>
    </row>
    <row r="39" spans="1:13" ht="22.5" customHeight="1">
      <c r="A39" s="1" t="s">
        <v>289</v>
      </c>
      <c r="B39" s="1" t="s">
        <v>290</v>
      </c>
      <c r="C39" s="84" t="s">
        <v>95</v>
      </c>
      <c r="D39" s="18">
        <v>2.8</v>
      </c>
      <c r="E39" s="6">
        <f>INDEX(일위대가!$A$1:$O$205,MATCH(M39,일위대가!$O:$O,0),7)</f>
        <v>15107</v>
      </c>
      <c r="F39" s="6">
        <f>D39*E39</f>
        <v>42299.6</v>
      </c>
      <c r="G39" s="6">
        <f>INDEX(일위대가!$A$1:$O$205,MATCH(M39,일위대가!$O:$O,0),9)</f>
        <v>145126</v>
      </c>
      <c r="H39" s="6">
        <f>D39*G39</f>
        <v>406352.8</v>
      </c>
      <c r="I39" s="6">
        <f>INDEX(일위대가!$A$1:$O$205,MATCH(M39,일위대가!$O:$O,0),11)</f>
        <v>4556</v>
      </c>
      <c r="J39" s="6">
        <f>D39*I39</f>
        <v>12756.8</v>
      </c>
      <c r="K39" s="6">
        <f t="shared" ref="K39:K41" si="28">SUM(E39,G39,I39)</f>
        <v>164789</v>
      </c>
      <c r="L39" s="6">
        <f t="shared" ref="L39:L41" si="29">SUM(F39,H39,J39)</f>
        <v>461409.19999999995</v>
      </c>
      <c r="M39" s="55" t="s">
        <v>406</v>
      </c>
    </row>
    <row r="40" spans="1:13" ht="22.5" customHeight="1">
      <c r="A40" s="1" t="s">
        <v>299</v>
      </c>
      <c r="B40" s="1" t="s">
        <v>300</v>
      </c>
      <c r="C40" s="84" t="s">
        <v>301</v>
      </c>
      <c r="D40" s="18">
        <v>0.25</v>
      </c>
      <c r="E40" s="6">
        <f>INDEX(일위대가!$A$1:$O$205,MATCH(M40,일위대가!$O:$O,0),7)</f>
        <v>31450</v>
      </c>
      <c r="F40" s="6">
        <f>D40*E40</f>
        <v>7862.5</v>
      </c>
      <c r="G40" s="6">
        <f>INDEX(일위대가!$A$1:$O$205,MATCH(M40,일위대가!$O:$O,0),9)</f>
        <v>401301</v>
      </c>
      <c r="H40" s="6">
        <f>D40*G40</f>
        <v>100325.25</v>
      </c>
      <c r="I40" s="6">
        <f>INDEX(일위대가!$A$1:$O$205,MATCH(M40,일위대가!$O:$O,0),11)</f>
        <v>0</v>
      </c>
      <c r="J40" s="6">
        <f>D40*I40</f>
        <v>0</v>
      </c>
      <c r="K40" s="6">
        <f t="shared" si="28"/>
        <v>432751</v>
      </c>
      <c r="L40" s="6">
        <f t="shared" si="29"/>
        <v>108187.75</v>
      </c>
      <c r="M40" s="55" t="s">
        <v>407</v>
      </c>
    </row>
    <row r="41" spans="1:13" ht="22.5" customHeight="1">
      <c r="A41" s="1" t="s">
        <v>385</v>
      </c>
      <c r="B41" s="1" t="s">
        <v>386</v>
      </c>
      <c r="C41" s="84" t="s">
        <v>80</v>
      </c>
      <c r="D41" s="18">
        <v>250</v>
      </c>
      <c r="E41" s="6">
        <v>-220</v>
      </c>
      <c r="F41" s="6">
        <f>D41*E41</f>
        <v>-55000</v>
      </c>
      <c r="G41" s="6"/>
      <c r="H41" s="6">
        <f>D41*G41</f>
        <v>0</v>
      </c>
      <c r="I41" s="6"/>
      <c r="J41" s="6">
        <f>D41*I41</f>
        <v>0</v>
      </c>
      <c r="K41" s="6">
        <f t="shared" si="28"/>
        <v>-220</v>
      </c>
      <c r="L41" s="6">
        <f t="shared" si="29"/>
        <v>-55000</v>
      </c>
      <c r="M41" s="55" t="s">
        <v>388</v>
      </c>
    </row>
    <row r="42" spans="1:13" ht="22.5" customHeight="1">
      <c r="A42" s="1"/>
      <c r="B42" s="1"/>
      <c r="C42" s="84"/>
      <c r="D42" s="18"/>
      <c r="E42" s="6"/>
      <c r="F42" s="6"/>
      <c r="G42" s="6"/>
      <c r="H42" s="6"/>
      <c r="I42" s="6"/>
      <c r="J42" s="6"/>
      <c r="K42" s="6"/>
      <c r="L42" s="6"/>
      <c r="M42" s="5"/>
    </row>
    <row r="43" spans="1:13" ht="22.5" customHeight="1">
      <c r="A43" s="76" t="s">
        <v>203</v>
      </c>
      <c r="B43" s="76"/>
      <c r="C43" s="11"/>
      <c r="D43" s="19"/>
      <c r="E43" s="12"/>
      <c r="F43" s="12">
        <f>SUM(F39:F42)</f>
        <v>-4837.9000000000015</v>
      </c>
      <c r="G43" s="12"/>
      <c r="H43" s="12">
        <f t="shared" ref="H43:L43" si="30">SUM(H39:H42)</f>
        <v>506678.05</v>
      </c>
      <c r="I43" s="12"/>
      <c r="J43" s="12">
        <f t="shared" si="30"/>
        <v>12756.8</v>
      </c>
      <c r="K43" s="12"/>
      <c r="L43" s="12">
        <f t="shared" si="30"/>
        <v>514596.94999999995</v>
      </c>
      <c r="M43" s="96"/>
    </row>
    <row r="44" spans="1:13" ht="22.5" customHeight="1">
      <c r="A44" s="67" t="s">
        <v>372</v>
      </c>
      <c r="B44" s="62"/>
      <c r="C44" s="62"/>
      <c r="D44" s="68"/>
      <c r="E44" s="69"/>
      <c r="F44" s="69"/>
      <c r="G44" s="69"/>
      <c r="H44" s="69"/>
      <c r="I44" s="69"/>
      <c r="J44" s="69"/>
      <c r="K44" s="69"/>
      <c r="L44" s="69"/>
      <c r="M44" s="70"/>
    </row>
    <row r="45" spans="1:13" ht="22.5" customHeight="1">
      <c r="A45" s="1" t="s">
        <v>374</v>
      </c>
      <c r="B45" s="1" t="s">
        <v>375</v>
      </c>
      <c r="C45" s="84" t="s">
        <v>376</v>
      </c>
      <c r="D45" s="18">
        <v>4.4799999999999995</v>
      </c>
      <c r="E45" s="6"/>
      <c r="F45" s="6"/>
      <c r="G45" s="6"/>
      <c r="H45" s="6"/>
      <c r="I45" s="6">
        <v>1820</v>
      </c>
      <c r="J45" s="6">
        <f t="shared" ref="J45:J47" si="31">ROUNDDOWN(D45*I45,0)</f>
        <v>8153</v>
      </c>
      <c r="K45" s="6">
        <f>E45+G45+I45</f>
        <v>1820</v>
      </c>
      <c r="L45" s="6">
        <f>F45+H45+J45</f>
        <v>8153</v>
      </c>
      <c r="M45" s="5"/>
    </row>
    <row r="46" spans="1:13" ht="22.5" customHeight="1">
      <c r="A46" s="1" t="s">
        <v>377</v>
      </c>
      <c r="B46" s="1" t="s">
        <v>378</v>
      </c>
      <c r="C46" s="84" t="s">
        <v>376</v>
      </c>
      <c r="D46" s="18">
        <v>4.4799999999999995</v>
      </c>
      <c r="E46" s="6"/>
      <c r="F46" s="6"/>
      <c r="G46" s="6"/>
      <c r="H46" s="6"/>
      <c r="I46" s="6">
        <v>11840</v>
      </c>
      <c r="J46" s="6">
        <f t="shared" si="31"/>
        <v>53043</v>
      </c>
      <c r="K46" s="6">
        <f t="shared" ref="K46:L47" si="32">E46+G46+I46</f>
        <v>11840</v>
      </c>
      <c r="L46" s="6">
        <f t="shared" si="32"/>
        <v>53043</v>
      </c>
      <c r="M46" s="5"/>
    </row>
    <row r="47" spans="1:13" ht="22.5" customHeight="1">
      <c r="A47" s="1" t="s">
        <v>379</v>
      </c>
      <c r="B47" s="1" t="s">
        <v>380</v>
      </c>
      <c r="C47" s="84" t="s">
        <v>376</v>
      </c>
      <c r="D47" s="18">
        <v>4.4799999999999995</v>
      </c>
      <c r="E47" s="6"/>
      <c r="F47" s="6"/>
      <c r="G47" s="6"/>
      <c r="H47" s="6"/>
      <c r="I47" s="6">
        <v>27351</v>
      </c>
      <c r="J47" s="6">
        <f t="shared" si="31"/>
        <v>122532</v>
      </c>
      <c r="K47" s="6">
        <f t="shared" si="32"/>
        <v>27351</v>
      </c>
      <c r="L47" s="6">
        <f t="shared" si="32"/>
        <v>122532</v>
      </c>
      <c r="M47" s="5"/>
    </row>
    <row r="48" spans="1:13" ht="22.5" customHeight="1">
      <c r="A48" s="1"/>
      <c r="B48" s="1"/>
      <c r="C48" s="84"/>
      <c r="D48" s="18"/>
      <c r="E48" s="6"/>
      <c r="F48" s="6"/>
      <c r="G48" s="6"/>
      <c r="H48" s="6"/>
      <c r="I48" s="6"/>
      <c r="J48" s="6"/>
      <c r="K48" s="6"/>
      <c r="L48" s="6"/>
      <c r="M48" s="5"/>
    </row>
    <row r="49" spans="1:13" ht="22.5" customHeight="1">
      <c r="A49" s="1"/>
      <c r="B49" s="1"/>
      <c r="C49" s="84"/>
      <c r="D49" s="18"/>
      <c r="E49" s="6"/>
      <c r="F49" s="6"/>
      <c r="G49" s="6"/>
      <c r="H49" s="6"/>
      <c r="I49" s="6"/>
      <c r="J49" s="6"/>
      <c r="K49" s="6"/>
      <c r="L49" s="6"/>
      <c r="M49" s="5"/>
    </row>
    <row r="50" spans="1:13" ht="22.5" customHeight="1">
      <c r="A50" s="76" t="s">
        <v>203</v>
      </c>
      <c r="B50" s="76"/>
      <c r="C50" s="11"/>
      <c r="D50" s="19"/>
      <c r="E50" s="12"/>
      <c r="F50" s="12">
        <f>SUM(F45:F49)</f>
        <v>0</v>
      </c>
      <c r="G50" s="12"/>
      <c r="H50" s="12">
        <f t="shared" ref="H50:L50" si="33">SUM(H45:H49)</f>
        <v>0</v>
      </c>
      <c r="I50" s="12"/>
      <c r="J50" s="12">
        <f t="shared" si="33"/>
        <v>183728</v>
      </c>
      <c r="K50" s="12"/>
      <c r="L50" s="12">
        <f t="shared" si="33"/>
        <v>183728</v>
      </c>
      <c r="M50" s="96" t="s">
        <v>384</v>
      </c>
    </row>
    <row r="51" spans="1:13" s="77" customFormat="1" ht="7.5" customHeight="1">
      <c r="A51" s="59"/>
      <c r="B51" s="59"/>
      <c r="C51" s="58"/>
      <c r="D51" s="65"/>
      <c r="E51" s="66"/>
      <c r="F51" s="66"/>
      <c r="G51" s="66"/>
      <c r="H51" s="66"/>
      <c r="I51" s="66"/>
      <c r="J51" s="66"/>
      <c r="K51" s="66"/>
      <c r="L51" s="66"/>
      <c r="M51" s="60"/>
    </row>
    <row r="52" spans="1:13" ht="22.5" customHeight="1">
      <c r="A52" s="78" t="s">
        <v>48</v>
      </c>
      <c r="B52" s="79"/>
      <c r="C52" s="78"/>
      <c r="D52" s="80"/>
      <c r="E52" s="81"/>
      <c r="F52" s="81">
        <f>SUM(F8,F21,F28,F37,F43)</f>
        <v>13977466.981679998</v>
      </c>
      <c r="G52" s="81"/>
      <c r="H52" s="81">
        <f>SUM(H8,H21,H28,H37,H43)</f>
        <v>10462786.350000003</v>
      </c>
      <c r="I52" s="81"/>
      <c r="J52" s="81">
        <f>SUM(J8,J21,J28,J37,J43)</f>
        <v>12756.8</v>
      </c>
      <c r="K52" s="81"/>
      <c r="L52" s="81">
        <f>SUM(L8,L21,L28,L37,L43)</f>
        <v>24453010.131679997</v>
      </c>
      <c r="M52" s="82"/>
    </row>
  </sheetData>
  <mergeCells count="10">
    <mergeCell ref="M3:M4"/>
    <mergeCell ref="A1:M1"/>
    <mergeCell ref="A3:A4"/>
    <mergeCell ref="B3:B4"/>
    <mergeCell ref="C3:C4"/>
    <mergeCell ref="D3:D4"/>
    <mergeCell ref="E3:F3"/>
    <mergeCell ref="G3:H3"/>
    <mergeCell ref="I3:J3"/>
    <mergeCell ref="K3:L3"/>
  </mergeCells>
  <phoneticPr fontId="7" type="noConversion"/>
  <pageMargins left="0.70866141732283472" right="0.70866141732283472" top="0.59055118110236227" bottom="0.47244094488188981" header="0.31496062992125984" footer="0.31496062992125984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G51"/>
  <sheetViews>
    <sheetView tabSelected="1" view="pageBreakPreview" zoomScale="85" zoomScaleNormal="90" zoomScaleSheetLayoutView="85" workbookViewId="0">
      <selection activeCell="F38" sqref="F38"/>
    </sheetView>
  </sheetViews>
  <sheetFormatPr defaultColWidth="9" defaultRowHeight="16.5"/>
  <cols>
    <col min="2" max="2" width="32.75" style="29" bestFit="1" customWidth="1"/>
    <col min="3" max="3" width="30.75" style="29" bestFit="1" customWidth="1"/>
    <col min="4" max="4" width="5.25" bestFit="1" customWidth="1"/>
    <col min="5" max="5" width="8.5" customWidth="1"/>
    <col min="6" max="6" width="47" customWidth="1"/>
    <col min="7" max="7" width="14" bestFit="1" customWidth="1"/>
    <col min="9" max="9" width="9" bestFit="1" customWidth="1"/>
  </cols>
  <sheetData>
    <row r="1" spans="1:7" ht="33.75">
      <c r="A1" s="113" t="s">
        <v>102</v>
      </c>
      <c r="B1" s="113"/>
      <c r="C1" s="113"/>
      <c r="D1" s="113"/>
      <c r="E1" s="113"/>
      <c r="F1" s="113"/>
      <c r="G1" s="113"/>
    </row>
    <row r="2" spans="1:7">
      <c r="A2" s="57" t="s">
        <v>228</v>
      </c>
    </row>
    <row r="3" spans="1:7">
      <c r="A3" s="3" t="s">
        <v>89</v>
      </c>
      <c r="B3" s="3" t="s">
        <v>51</v>
      </c>
      <c r="C3" s="3" t="s">
        <v>54</v>
      </c>
      <c r="D3" s="3" t="s">
        <v>52</v>
      </c>
      <c r="E3" s="3" t="s">
        <v>103</v>
      </c>
      <c r="F3" s="3" t="s">
        <v>90</v>
      </c>
      <c r="G3" s="3" t="s">
        <v>57</v>
      </c>
    </row>
    <row r="4" spans="1:7">
      <c r="A4" s="61" t="s">
        <v>105</v>
      </c>
      <c r="B4" s="72"/>
      <c r="C4" s="72" t="s">
        <v>56</v>
      </c>
      <c r="D4" s="62"/>
      <c r="E4" s="62"/>
      <c r="F4" s="63"/>
      <c r="G4" s="64"/>
    </row>
    <row r="5" spans="1:7">
      <c r="A5" s="4"/>
      <c r="B5" s="52" t="s">
        <v>120</v>
      </c>
      <c r="C5" s="52" t="s">
        <v>121</v>
      </c>
      <c r="D5" s="51" t="s">
        <v>122</v>
      </c>
      <c r="E5" s="51">
        <v>2</v>
      </c>
      <c r="F5" s="55" t="s">
        <v>125</v>
      </c>
      <c r="G5" s="1"/>
    </row>
    <row r="6" spans="1:7" ht="17.100000000000001" customHeight="1">
      <c r="A6" s="1"/>
      <c r="B6" s="51"/>
      <c r="C6" s="51"/>
      <c r="D6" s="51"/>
      <c r="E6" s="51"/>
      <c r="F6" s="55"/>
      <c r="G6" s="31"/>
    </row>
    <row r="7" spans="1:7">
      <c r="A7" s="61" t="s">
        <v>124</v>
      </c>
      <c r="B7" s="72"/>
      <c r="C7" s="72" t="s">
        <v>56</v>
      </c>
      <c r="D7" s="62"/>
      <c r="E7" s="62"/>
      <c r="F7" s="63"/>
      <c r="G7" s="64"/>
    </row>
    <row r="8" spans="1:7" ht="33">
      <c r="A8" s="52"/>
      <c r="B8" s="51" t="s">
        <v>126</v>
      </c>
      <c r="C8" s="51" t="s">
        <v>127</v>
      </c>
      <c r="D8" s="51" t="s">
        <v>50</v>
      </c>
      <c r="E8" s="51">
        <f>573.4-2*4.5+2.2</f>
        <v>566.6</v>
      </c>
      <c r="F8" s="55" t="s">
        <v>264</v>
      </c>
      <c r="G8" s="71"/>
    </row>
    <row r="9" spans="1:7">
      <c r="A9" s="52"/>
      <c r="B9" s="51" t="s">
        <v>220</v>
      </c>
      <c r="C9" s="51" t="s">
        <v>221</v>
      </c>
      <c r="D9" s="53" t="s">
        <v>50</v>
      </c>
      <c r="E9" s="53">
        <f>E8</f>
        <v>566.6</v>
      </c>
      <c r="F9" s="55"/>
      <c r="G9" s="71"/>
    </row>
    <row r="10" spans="1:7" ht="49.5">
      <c r="A10" s="52"/>
      <c r="B10" s="55" t="s">
        <v>362</v>
      </c>
      <c r="C10" s="51" t="s">
        <v>363</v>
      </c>
      <c r="D10" s="51" t="s">
        <v>50</v>
      </c>
      <c r="E10" s="51">
        <f>6.6+136.24+(1+7)*3-0.9*2.1*6-1.8*2.1*1</f>
        <v>151.72</v>
      </c>
      <c r="F10" s="55" t="s">
        <v>366</v>
      </c>
      <c r="G10" s="71"/>
    </row>
    <row r="11" spans="1:7" ht="33">
      <c r="A11" s="52"/>
      <c r="B11" s="55" t="s">
        <v>352</v>
      </c>
      <c r="C11" s="55" t="s">
        <v>359</v>
      </c>
      <c r="D11" s="55" t="s">
        <v>361</v>
      </c>
      <c r="E11" s="51">
        <f>1+5</f>
        <v>6</v>
      </c>
      <c r="F11" s="55" t="s">
        <v>353</v>
      </c>
      <c r="G11" s="71"/>
    </row>
    <row r="12" spans="1:7">
      <c r="A12" s="52"/>
      <c r="B12" s="55" t="s">
        <v>355</v>
      </c>
      <c r="C12" s="55" t="s">
        <v>357</v>
      </c>
      <c r="D12" s="55" t="s">
        <v>361</v>
      </c>
      <c r="E12" s="51">
        <v>1</v>
      </c>
      <c r="F12" s="55" t="s">
        <v>354</v>
      </c>
      <c r="G12" s="71"/>
    </row>
    <row r="13" spans="1:7">
      <c r="A13" s="52"/>
      <c r="B13" s="51" t="s">
        <v>242</v>
      </c>
      <c r="C13" s="51" t="s">
        <v>243</v>
      </c>
      <c r="D13" s="51" t="s">
        <v>50</v>
      </c>
      <c r="E13" s="51">
        <f>(5.2+3.3)*2*3</f>
        <v>51</v>
      </c>
      <c r="F13" s="55" t="s">
        <v>255</v>
      </c>
      <c r="G13" s="71"/>
    </row>
    <row r="14" spans="1:7">
      <c r="A14" s="52"/>
      <c r="B14" s="51" t="s">
        <v>244</v>
      </c>
      <c r="C14" s="51" t="s">
        <v>243</v>
      </c>
      <c r="D14" s="51" t="s">
        <v>50</v>
      </c>
      <c r="E14" s="51">
        <f>2.2*4+5.2*3.3</f>
        <v>25.96</v>
      </c>
      <c r="F14" s="55" t="s">
        <v>390</v>
      </c>
      <c r="G14" s="71"/>
    </row>
    <row r="15" spans="1:7" ht="33">
      <c r="A15" s="52"/>
      <c r="B15" s="51" t="s">
        <v>257</v>
      </c>
      <c r="C15" s="51" t="s">
        <v>258</v>
      </c>
      <c r="D15" s="51" t="s">
        <v>50</v>
      </c>
      <c r="E15" s="55">
        <f>5.2*3.3+(7+3.6)*6+6*6</f>
        <v>116.75999999999999</v>
      </c>
      <c r="F15" s="55" t="s">
        <v>367</v>
      </c>
      <c r="G15" s="71"/>
    </row>
    <row r="16" spans="1:7" ht="33">
      <c r="A16" s="52"/>
      <c r="B16" s="51" t="s">
        <v>206</v>
      </c>
      <c r="C16" s="51" t="s">
        <v>207</v>
      </c>
      <c r="D16" s="51" t="s">
        <v>50</v>
      </c>
      <c r="E16" s="55">
        <f>(5.2+3.3)*2*3+(6+6)*2*2.3*1.5</f>
        <v>133.80000000000001</v>
      </c>
      <c r="F16" s="55" t="s">
        <v>408</v>
      </c>
      <c r="G16" s="71"/>
    </row>
    <row r="17" spans="1:7">
      <c r="A17" s="52"/>
      <c r="B17" s="51" t="s">
        <v>216</v>
      </c>
      <c r="C17" s="51" t="s">
        <v>207</v>
      </c>
      <c r="D17" s="51" t="s">
        <v>50</v>
      </c>
      <c r="E17" s="55">
        <f>5.2*3.3+6*6</f>
        <v>53.16</v>
      </c>
      <c r="F17" s="55" t="s">
        <v>409</v>
      </c>
      <c r="G17" s="71"/>
    </row>
    <row r="18" spans="1:7">
      <c r="A18" s="52"/>
      <c r="B18" s="55"/>
      <c r="C18" s="55"/>
      <c r="D18" s="55"/>
      <c r="E18" s="51"/>
      <c r="F18" s="55"/>
      <c r="G18" s="71"/>
    </row>
    <row r="19" spans="1:7">
      <c r="A19" s="61" t="s">
        <v>256</v>
      </c>
      <c r="B19" s="72"/>
      <c r="C19" s="72" t="s">
        <v>56</v>
      </c>
      <c r="D19" s="62"/>
      <c r="E19" s="62"/>
      <c r="F19" s="63"/>
      <c r="G19" s="64"/>
    </row>
    <row r="20" spans="1:7" ht="66">
      <c r="A20" s="52"/>
      <c r="B20" s="51" t="s">
        <v>229</v>
      </c>
      <c r="C20" s="51" t="s">
        <v>230</v>
      </c>
      <c r="D20" s="51" t="s">
        <v>50</v>
      </c>
      <c r="E20" s="53">
        <f>2.2*4+1.5*2*4+(4.5+3)*2*3.1-(2*2.4+2*1.8)+(20.5+6)*2*3.1-2*2.1-2.5*3.1+3.7*2*3.1-0.9*2.1+3.5*3.1</f>
        <v>243.15000000000003</v>
      </c>
      <c r="F20" s="55" t="s">
        <v>368</v>
      </c>
      <c r="G20" s="71"/>
    </row>
    <row r="21" spans="1:7">
      <c r="A21" s="52"/>
      <c r="B21" s="51" t="s">
        <v>235</v>
      </c>
      <c r="C21" s="51" t="s">
        <v>276</v>
      </c>
      <c r="D21" s="51" t="s">
        <v>50</v>
      </c>
      <c r="E21" s="53">
        <f>E20</f>
        <v>243.15000000000003</v>
      </c>
      <c r="F21" s="55"/>
      <c r="G21" s="71"/>
    </row>
    <row r="22" spans="1:7" ht="49.5">
      <c r="A22" s="52"/>
      <c r="B22" s="51" t="s">
        <v>265</v>
      </c>
      <c r="C22" s="51" t="s">
        <v>266</v>
      </c>
      <c r="D22" s="51" t="s">
        <v>50</v>
      </c>
      <c r="E22" s="51">
        <f>2*2.1*2+0.9*2.1*2+2*2.4+2.2*2.5*2+3*2.5*2+(0.5+0.8+0.7)*2*0.6*9</f>
        <v>64.58</v>
      </c>
      <c r="F22" s="55" t="s">
        <v>410</v>
      </c>
      <c r="G22" s="71"/>
    </row>
    <row r="23" spans="1:7">
      <c r="A23" s="52"/>
      <c r="B23" s="51" t="s">
        <v>235</v>
      </c>
      <c r="C23" s="51" t="s">
        <v>277</v>
      </c>
      <c r="D23" s="51" t="s">
        <v>50</v>
      </c>
      <c r="E23" s="51">
        <f>E22</f>
        <v>64.58</v>
      </c>
      <c r="F23" s="55"/>
      <c r="G23" s="71"/>
    </row>
    <row r="24" spans="1:7">
      <c r="A24" s="52"/>
      <c r="B24" s="51"/>
      <c r="C24" s="51"/>
      <c r="D24" s="51"/>
      <c r="E24" s="51"/>
      <c r="F24" s="55"/>
      <c r="G24" s="71"/>
    </row>
    <row r="25" spans="1:7">
      <c r="A25" s="61" t="s">
        <v>309</v>
      </c>
      <c r="B25" s="72"/>
      <c r="C25" s="72" t="s">
        <v>56</v>
      </c>
      <c r="D25" s="62"/>
      <c r="E25" s="62"/>
      <c r="F25" s="63"/>
      <c r="G25" s="64"/>
    </row>
    <row r="26" spans="1:7">
      <c r="A26" s="52"/>
      <c r="B26" s="51" t="s">
        <v>307</v>
      </c>
      <c r="C26" s="51" t="s">
        <v>308</v>
      </c>
      <c r="D26" s="51" t="s">
        <v>50</v>
      </c>
      <c r="E26" s="51">
        <f>6*7</f>
        <v>42</v>
      </c>
      <c r="F26" s="55" t="s">
        <v>324</v>
      </c>
      <c r="G26" s="71"/>
    </row>
    <row r="27" spans="1:7">
      <c r="A27" s="52"/>
      <c r="B27" s="55" t="s">
        <v>316</v>
      </c>
      <c r="C27" s="51" t="s">
        <v>314</v>
      </c>
      <c r="D27" s="51" t="s">
        <v>50</v>
      </c>
      <c r="E27" s="51">
        <f>E26</f>
        <v>42</v>
      </c>
      <c r="F27" s="55" t="s">
        <v>324</v>
      </c>
      <c r="G27" s="71"/>
    </row>
    <row r="28" spans="1:7">
      <c r="A28" s="52"/>
      <c r="B28" s="51" t="s">
        <v>325</v>
      </c>
      <c r="C28" s="51" t="s">
        <v>326</v>
      </c>
      <c r="D28" s="51" t="s">
        <v>93</v>
      </c>
      <c r="E28" s="51">
        <v>5</v>
      </c>
      <c r="F28" s="55" t="s">
        <v>415</v>
      </c>
      <c r="G28" s="71"/>
    </row>
    <row r="29" spans="1:7">
      <c r="A29" s="52"/>
      <c r="B29" s="51" t="s">
        <v>328</v>
      </c>
      <c r="C29" s="55" t="s">
        <v>339</v>
      </c>
      <c r="D29" s="51" t="s">
        <v>50</v>
      </c>
      <c r="E29" s="55">
        <f>(5.28+1.16+1.1)*0.3</f>
        <v>2.262</v>
      </c>
      <c r="F29" s="55" t="s">
        <v>411</v>
      </c>
      <c r="G29" s="71"/>
    </row>
    <row r="30" spans="1:7">
      <c r="A30" s="52"/>
      <c r="B30" s="51" t="s">
        <v>328</v>
      </c>
      <c r="C30" s="55" t="s">
        <v>341</v>
      </c>
      <c r="D30" s="51" t="s">
        <v>50</v>
      </c>
      <c r="E30" s="55">
        <f>(5.28+0.3+0.2+0.2+1.16+1.1)*0.3</f>
        <v>2.472</v>
      </c>
      <c r="F30" s="55" t="s">
        <v>412</v>
      </c>
      <c r="G30" s="71"/>
    </row>
    <row r="31" spans="1:7">
      <c r="A31" s="52"/>
      <c r="B31" s="51" t="s">
        <v>328</v>
      </c>
      <c r="C31" s="55" t="s">
        <v>343</v>
      </c>
      <c r="D31" s="51" t="s">
        <v>50</v>
      </c>
      <c r="E31" s="55">
        <f>(5.28+(0.3+0.2+0.2)*2+1.16+1.1)*0.3</f>
        <v>2.6819999999999999</v>
      </c>
      <c r="F31" s="55" t="s">
        <v>413</v>
      </c>
      <c r="G31" s="71"/>
    </row>
    <row r="32" spans="1:7">
      <c r="A32" s="52"/>
      <c r="B32" s="55" t="s">
        <v>370</v>
      </c>
      <c r="C32" s="55" t="s">
        <v>371</v>
      </c>
      <c r="D32" s="51" t="s">
        <v>50</v>
      </c>
      <c r="E32" s="51">
        <f>(4.6+1.6)*2.1</f>
        <v>13.02</v>
      </c>
      <c r="F32" s="55" t="s">
        <v>414</v>
      </c>
      <c r="G32" s="71"/>
    </row>
    <row r="33" spans="1:7">
      <c r="A33" s="52"/>
      <c r="B33" s="51"/>
      <c r="C33" s="51"/>
      <c r="D33" s="51"/>
      <c r="E33" s="51"/>
      <c r="F33" s="55"/>
      <c r="G33" s="71"/>
    </row>
    <row r="34" spans="1:7">
      <c r="A34" s="52"/>
      <c r="B34" s="51"/>
      <c r="C34" s="51"/>
      <c r="D34" s="51"/>
      <c r="E34" s="51"/>
      <c r="F34" s="55"/>
      <c r="G34" s="71"/>
    </row>
    <row r="35" spans="1:7">
      <c r="A35" s="52"/>
      <c r="B35" s="51"/>
      <c r="C35" s="51"/>
      <c r="D35" s="51"/>
      <c r="E35" s="51"/>
      <c r="F35" s="55"/>
      <c r="G35" s="71"/>
    </row>
    <row r="36" spans="1:7">
      <c r="A36" s="61" t="s">
        <v>323</v>
      </c>
      <c r="B36" s="72"/>
      <c r="C36" s="72" t="s">
        <v>56</v>
      </c>
      <c r="D36" s="62"/>
      <c r="E36" s="62"/>
      <c r="F36" s="63"/>
      <c r="G36" s="64"/>
    </row>
    <row r="37" spans="1:7">
      <c r="A37" s="52"/>
      <c r="B37" s="51" t="s">
        <v>289</v>
      </c>
      <c r="C37" s="51" t="s">
        <v>290</v>
      </c>
      <c r="D37" s="51" t="s">
        <v>95</v>
      </c>
      <c r="E37" s="51">
        <f>1*2*0.7*2</f>
        <v>2.8</v>
      </c>
      <c r="F37" s="55" t="s">
        <v>298</v>
      </c>
      <c r="G37" s="71"/>
    </row>
    <row r="38" spans="1:7">
      <c r="A38" s="52"/>
      <c r="B38" s="51" t="s">
        <v>299</v>
      </c>
      <c r="C38" s="51" t="s">
        <v>300</v>
      </c>
      <c r="D38" s="51" t="s">
        <v>301</v>
      </c>
      <c r="E38" s="51">
        <f>0.1*2+0.05</f>
        <v>0.25</v>
      </c>
      <c r="F38" s="55" t="s">
        <v>302</v>
      </c>
      <c r="G38" s="71"/>
    </row>
    <row r="39" spans="1:7">
      <c r="A39" s="52"/>
      <c r="B39" s="51" t="s">
        <v>385</v>
      </c>
      <c r="C39" s="51" t="s">
        <v>386</v>
      </c>
      <c r="D39" s="51" t="s">
        <v>80</v>
      </c>
      <c r="E39" s="51">
        <v>250</v>
      </c>
      <c r="F39" s="55" t="s">
        <v>387</v>
      </c>
      <c r="G39" s="71"/>
    </row>
    <row r="40" spans="1:7">
      <c r="A40" s="52"/>
      <c r="B40" s="51"/>
      <c r="C40" s="51"/>
      <c r="D40" s="51"/>
      <c r="E40" s="51"/>
      <c r="F40" s="55"/>
      <c r="G40" s="71"/>
    </row>
    <row r="41" spans="1:7">
      <c r="A41" s="61" t="s">
        <v>372</v>
      </c>
      <c r="B41" s="72"/>
      <c r="C41" s="72" t="s">
        <v>56</v>
      </c>
      <c r="D41" s="62"/>
      <c r="E41" s="62"/>
      <c r="F41" s="63"/>
      <c r="G41" s="64"/>
    </row>
    <row r="42" spans="1:7" ht="16.5" customHeight="1">
      <c r="A42" s="52"/>
      <c r="B42" s="55" t="s">
        <v>381</v>
      </c>
      <c r="C42" s="55" t="s">
        <v>382</v>
      </c>
      <c r="D42" s="55" t="s">
        <v>383</v>
      </c>
      <c r="E42" s="55">
        <f>2.8*1.6</f>
        <v>4.4799999999999995</v>
      </c>
      <c r="F42" s="55" t="s">
        <v>416</v>
      </c>
      <c r="G42" s="52"/>
    </row>
    <row r="43" spans="1:7">
      <c r="A43" s="52"/>
      <c r="B43" s="51"/>
      <c r="C43" s="51"/>
      <c r="D43" s="51"/>
      <c r="E43" s="55"/>
      <c r="F43" s="55"/>
      <c r="G43" s="73"/>
    </row>
    <row r="44" spans="1:7">
      <c r="A44" s="52"/>
      <c r="B44" s="51"/>
      <c r="C44" s="51"/>
      <c r="D44" s="51"/>
      <c r="E44" s="55"/>
      <c r="F44" s="55"/>
      <c r="G44" s="73"/>
    </row>
    <row r="46" spans="1:7">
      <c r="F46" s="29"/>
    </row>
    <row r="47" spans="1:7">
      <c r="F47" s="29"/>
    </row>
    <row r="48" spans="1:7">
      <c r="F48" s="29"/>
    </row>
    <row r="49" spans="6:6">
      <c r="F49" s="29"/>
    </row>
    <row r="50" spans="6:6">
      <c r="F50" s="29"/>
    </row>
    <row r="51" spans="6:6">
      <c r="F51" s="29"/>
    </row>
  </sheetData>
  <mergeCells count="1">
    <mergeCell ref="A1:G1"/>
  </mergeCells>
  <phoneticPr fontId="7" type="noConversion"/>
  <pageMargins left="0.70866141732283472" right="0.70866141732283472" top="0.51181102362204722" bottom="0.47244094488188981" header="0.31496062992125984" footer="0.31496062992125984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P240"/>
  <sheetViews>
    <sheetView zoomScale="70" zoomScaleNormal="70" workbookViewId="0">
      <pane ySplit="4" topLeftCell="A71" activePane="bottomLeft" state="frozen"/>
      <selection pane="bottomLeft" activeCell="B87" sqref="B87"/>
    </sheetView>
  </sheetViews>
  <sheetFormatPr defaultColWidth="9" defaultRowHeight="16.5"/>
  <cols>
    <col min="1" max="1" width="9" customWidth="1"/>
    <col min="2" max="2" width="42.625" bestFit="1" customWidth="1"/>
    <col min="3" max="3" width="28.25" bestFit="1" customWidth="1"/>
    <col min="4" max="4" width="5.25" style="29" bestFit="1" customWidth="1"/>
    <col min="5" max="5" width="10.875" style="45" bestFit="1" customWidth="1"/>
    <col min="6" max="6" width="11.75" bestFit="1" customWidth="1"/>
    <col min="7" max="7" width="11" bestFit="1" customWidth="1"/>
    <col min="8" max="8" width="10.875" bestFit="1" customWidth="1"/>
    <col min="9" max="9" width="10.625" bestFit="1" customWidth="1"/>
    <col min="10" max="10" width="11.75" bestFit="1" customWidth="1"/>
    <col min="11" max="11" width="9.5" bestFit="1" customWidth="1"/>
    <col min="12" max="13" width="10.875" bestFit="1" customWidth="1"/>
    <col min="14" max="14" width="17.375" bestFit="1" customWidth="1"/>
    <col min="16" max="16" width="9" bestFit="1" customWidth="1"/>
  </cols>
  <sheetData>
    <row r="1" spans="1:16" ht="31.5">
      <c r="B1" s="98" t="s">
        <v>104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6">
      <c r="A2" s="57" t="s">
        <v>228</v>
      </c>
      <c r="B2" s="9"/>
      <c r="C2" s="7"/>
      <c r="D2" s="37"/>
      <c r="E2" s="46"/>
      <c r="F2" s="7"/>
      <c r="G2" s="7"/>
      <c r="H2" s="7"/>
      <c r="I2" s="7"/>
      <c r="J2" s="7"/>
      <c r="K2" s="7"/>
      <c r="L2" s="7"/>
      <c r="M2" s="7"/>
      <c r="N2" s="7"/>
    </row>
    <row r="3" spans="1:16" ht="16.350000000000001" customHeight="1">
      <c r="A3" s="115" t="s">
        <v>75</v>
      </c>
      <c r="B3" s="116"/>
      <c r="C3" s="112" t="s">
        <v>72</v>
      </c>
      <c r="D3" s="112" t="s">
        <v>52</v>
      </c>
      <c r="E3" s="114" t="s">
        <v>62</v>
      </c>
      <c r="F3" s="112" t="s">
        <v>40</v>
      </c>
      <c r="G3" s="112"/>
      <c r="H3" s="112" t="s">
        <v>39</v>
      </c>
      <c r="I3" s="112"/>
      <c r="J3" s="112" t="s">
        <v>16</v>
      </c>
      <c r="K3" s="112"/>
      <c r="L3" s="112" t="s">
        <v>10</v>
      </c>
      <c r="M3" s="112"/>
      <c r="N3" s="112" t="s">
        <v>63</v>
      </c>
    </row>
    <row r="4" spans="1:16">
      <c r="A4" s="117"/>
      <c r="B4" s="118"/>
      <c r="C4" s="112"/>
      <c r="D4" s="112"/>
      <c r="E4" s="114"/>
      <c r="F4" s="8" t="s">
        <v>36</v>
      </c>
      <c r="G4" s="8" t="s">
        <v>37</v>
      </c>
      <c r="H4" s="8" t="s">
        <v>36</v>
      </c>
      <c r="I4" s="8" t="s">
        <v>37</v>
      </c>
      <c r="J4" s="8" t="s">
        <v>36</v>
      </c>
      <c r="K4" s="8" t="s">
        <v>37</v>
      </c>
      <c r="L4" s="8" t="s">
        <v>36</v>
      </c>
      <c r="M4" s="8" t="s">
        <v>37</v>
      </c>
      <c r="N4" s="112"/>
    </row>
    <row r="5" spans="1:16" s="34" customFormat="1" ht="15" customHeight="1">
      <c r="A5" s="42" t="s">
        <v>119</v>
      </c>
      <c r="B5" s="49" t="s">
        <v>118</v>
      </c>
      <c r="C5" s="36"/>
      <c r="D5" s="39"/>
      <c r="E5" s="47"/>
      <c r="F5" s="33"/>
      <c r="G5" s="33"/>
      <c r="H5" s="33"/>
      <c r="I5" s="33"/>
      <c r="J5" s="33"/>
      <c r="K5" s="33"/>
      <c r="L5" s="33"/>
      <c r="M5" s="33"/>
      <c r="N5" s="32"/>
    </row>
    <row r="6" spans="1:16" s="34" customFormat="1" ht="15" customHeight="1">
      <c r="A6" s="42"/>
      <c r="B6" s="49" t="s">
        <v>106</v>
      </c>
      <c r="C6" s="48" t="s">
        <v>107</v>
      </c>
      <c r="D6" s="50" t="s">
        <v>87</v>
      </c>
      <c r="E6" s="47">
        <v>0.12</v>
      </c>
      <c r="F6" s="33">
        <v>20830</v>
      </c>
      <c r="G6" s="33">
        <v>2499.6</v>
      </c>
      <c r="H6" s="33">
        <v>0</v>
      </c>
      <c r="I6" s="33">
        <v>0</v>
      </c>
      <c r="J6" s="33">
        <v>0</v>
      </c>
      <c r="K6" s="33">
        <v>0</v>
      </c>
      <c r="L6" s="33">
        <v>20830</v>
      </c>
      <c r="M6" s="33">
        <v>2499.6</v>
      </c>
      <c r="N6" s="32" t="s">
        <v>56</v>
      </c>
    </row>
    <row r="7" spans="1:16" s="34" customFormat="1" ht="15" customHeight="1">
      <c r="A7" s="42"/>
      <c r="B7" s="49" t="s">
        <v>106</v>
      </c>
      <c r="C7" s="48" t="s">
        <v>108</v>
      </c>
      <c r="D7" s="50" t="s">
        <v>87</v>
      </c>
      <c r="E7" s="47">
        <v>0.12</v>
      </c>
      <c r="F7" s="33">
        <v>6640</v>
      </c>
      <c r="G7" s="33">
        <v>796.8</v>
      </c>
      <c r="H7" s="33">
        <v>0</v>
      </c>
      <c r="I7" s="33">
        <v>0</v>
      </c>
      <c r="J7" s="33">
        <v>0</v>
      </c>
      <c r="K7" s="33">
        <v>0</v>
      </c>
      <c r="L7" s="33">
        <v>6640</v>
      </c>
      <c r="M7" s="33">
        <v>796.8</v>
      </c>
      <c r="N7" s="32" t="s">
        <v>56</v>
      </c>
    </row>
    <row r="8" spans="1:16" s="34" customFormat="1" ht="15" customHeight="1">
      <c r="A8" s="42"/>
      <c r="B8" s="49" t="s">
        <v>106</v>
      </c>
      <c r="C8" s="48" t="s">
        <v>109</v>
      </c>
      <c r="D8" s="50" t="s">
        <v>87</v>
      </c>
      <c r="E8" s="47">
        <v>0.24</v>
      </c>
      <c r="F8" s="33">
        <v>24500</v>
      </c>
      <c r="G8" s="33">
        <v>5880</v>
      </c>
      <c r="H8" s="33">
        <v>0</v>
      </c>
      <c r="I8" s="33">
        <v>0</v>
      </c>
      <c r="J8" s="33">
        <v>0</v>
      </c>
      <c r="K8" s="33">
        <v>0</v>
      </c>
      <c r="L8" s="33">
        <v>24500</v>
      </c>
      <c r="M8" s="33">
        <v>5880</v>
      </c>
      <c r="N8" s="32" t="s">
        <v>56</v>
      </c>
    </row>
    <row r="9" spans="1:16" s="34" customFormat="1" ht="15" customHeight="1">
      <c r="A9" s="42"/>
      <c r="B9" s="49" t="s">
        <v>106</v>
      </c>
      <c r="C9" s="48" t="s">
        <v>110</v>
      </c>
      <c r="D9" s="50" t="s">
        <v>87</v>
      </c>
      <c r="E9" s="47">
        <v>0.24</v>
      </c>
      <c r="F9" s="33">
        <v>10300</v>
      </c>
      <c r="G9" s="33">
        <v>2472</v>
      </c>
      <c r="H9" s="33">
        <v>0</v>
      </c>
      <c r="I9" s="33">
        <v>0</v>
      </c>
      <c r="J9" s="33">
        <v>0</v>
      </c>
      <c r="K9" s="33">
        <v>0</v>
      </c>
      <c r="L9" s="33">
        <v>10300</v>
      </c>
      <c r="M9" s="33">
        <v>2472</v>
      </c>
      <c r="N9" s="32" t="s">
        <v>56</v>
      </c>
    </row>
    <row r="10" spans="1:16" s="34" customFormat="1" ht="15" customHeight="1">
      <c r="A10" s="42"/>
      <c r="B10" s="49" t="s">
        <v>106</v>
      </c>
      <c r="C10" s="48" t="s">
        <v>111</v>
      </c>
      <c r="D10" s="50" t="s">
        <v>87</v>
      </c>
      <c r="E10" s="47">
        <v>0.12</v>
      </c>
      <c r="F10" s="33">
        <v>6500</v>
      </c>
      <c r="G10" s="33">
        <v>780</v>
      </c>
      <c r="H10" s="33">
        <v>0</v>
      </c>
      <c r="I10" s="33">
        <v>0</v>
      </c>
      <c r="J10" s="33">
        <v>0</v>
      </c>
      <c r="K10" s="33">
        <v>0</v>
      </c>
      <c r="L10" s="33">
        <v>6500</v>
      </c>
      <c r="M10" s="33">
        <v>780</v>
      </c>
      <c r="N10" s="32" t="s">
        <v>56</v>
      </c>
    </row>
    <row r="11" spans="1:16" s="34" customFormat="1" ht="15" customHeight="1">
      <c r="A11" s="42"/>
      <c r="B11" s="49" t="s">
        <v>106</v>
      </c>
      <c r="C11" s="48" t="s">
        <v>112</v>
      </c>
      <c r="D11" s="50" t="s">
        <v>87</v>
      </c>
      <c r="E11" s="47">
        <v>0.24</v>
      </c>
      <c r="F11" s="33">
        <v>7800</v>
      </c>
      <c r="G11" s="33">
        <v>1872</v>
      </c>
      <c r="H11" s="33">
        <v>0</v>
      </c>
      <c r="I11" s="33">
        <v>0</v>
      </c>
      <c r="J11" s="33">
        <v>0</v>
      </c>
      <c r="K11" s="33">
        <v>0</v>
      </c>
      <c r="L11" s="33">
        <v>7800</v>
      </c>
      <c r="M11" s="33">
        <v>1872</v>
      </c>
      <c r="N11" s="32" t="s">
        <v>56</v>
      </c>
    </row>
    <row r="12" spans="1:16" s="34" customFormat="1" ht="15" customHeight="1">
      <c r="A12" s="42"/>
      <c r="B12" s="49" t="s">
        <v>106</v>
      </c>
      <c r="C12" s="48" t="s">
        <v>113</v>
      </c>
      <c r="D12" s="50" t="s">
        <v>87</v>
      </c>
      <c r="E12" s="47">
        <v>0.36</v>
      </c>
      <c r="F12" s="33">
        <v>10000</v>
      </c>
      <c r="G12" s="33">
        <v>3600</v>
      </c>
      <c r="H12" s="33">
        <v>0</v>
      </c>
      <c r="I12" s="33">
        <v>0</v>
      </c>
      <c r="J12" s="33">
        <v>0</v>
      </c>
      <c r="K12" s="33">
        <v>0</v>
      </c>
      <c r="L12" s="33">
        <v>10000</v>
      </c>
      <c r="M12" s="33">
        <v>3600</v>
      </c>
      <c r="N12" s="32" t="s">
        <v>56</v>
      </c>
    </row>
    <row r="13" spans="1:16" s="34" customFormat="1" ht="15" customHeight="1">
      <c r="A13" s="42"/>
      <c r="B13" s="49" t="s">
        <v>106</v>
      </c>
      <c r="C13" s="48" t="s">
        <v>114</v>
      </c>
      <c r="D13" s="50" t="s">
        <v>87</v>
      </c>
      <c r="E13" s="47">
        <v>0.36</v>
      </c>
      <c r="F13" s="33">
        <v>9000</v>
      </c>
      <c r="G13" s="33">
        <v>3240</v>
      </c>
      <c r="H13" s="33">
        <v>0</v>
      </c>
      <c r="I13" s="33">
        <v>0</v>
      </c>
      <c r="J13" s="33">
        <v>0</v>
      </c>
      <c r="K13" s="33">
        <v>0</v>
      </c>
      <c r="L13" s="33">
        <v>9000</v>
      </c>
      <c r="M13" s="33">
        <v>3240</v>
      </c>
      <c r="N13" s="32" t="s">
        <v>56</v>
      </c>
    </row>
    <row r="14" spans="1:16" s="34" customFormat="1" ht="15" customHeight="1">
      <c r="A14" s="42"/>
      <c r="B14" s="49" t="s">
        <v>115</v>
      </c>
      <c r="C14" s="48" t="s">
        <v>116</v>
      </c>
      <c r="D14" s="50" t="s">
        <v>95</v>
      </c>
      <c r="E14" s="47">
        <v>3.15E-2</v>
      </c>
      <c r="F14" s="33">
        <v>389221.55</v>
      </c>
      <c r="G14" s="33">
        <v>12260.4</v>
      </c>
      <c r="H14" s="33">
        <v>0</v>
      </c>
      <c r="I14" s="33">
        <v>0</v>
      </c>
      <c r="J14" s="33">
        <v>0</v>
      </c>
      <c r="K14" s="33">
        <v>0</v>
      </c>
      <c r="L14" s="33">
        <v>389221.5</v>
      </c>
      <c r="M14" s="33">
        <v>12260.4</v>
      </c>
      <c r="N14" s="32" t="s">
        <v>56</v>
      </c>
    </row>
    <row r="15" spans="1:16" s="34" customFormat="1" ht="15" customHeight="1">
      <c r="A15" s="42"/>
      <c r="B15" s="49" t="s">
        <v>60</v>
      </c>
      <c r="C15" s="48" t="s">
        <v>117</v>
      </c>
      <c r="D15" s="50" t="s">
        <v>86</v>
      </c>
      <c r="E15" s="47">
        <v>0.6</v>
      </c>
      <c r="F15" s="33">
        <v>0</v>
      </c>
      <c r="G15" s="33">
        <v>0</v>
      </c>
      <c r="H15" s="33">
        <v>89566</v>
      </c>
      <c r="I15" s="33">
        <v>53739.6</v>
      </c>
      <c r="J15" s="33">
        <v>0</v>
      </c>
      <c r="K15" s="33">
        <v>0</v>
      </c>
      <c r="L15" s="33">
        <v>89566</v>
      </c>
      <c r="M15" s="33">
        <v>53739.6</v>
      </c>
      <c r="N15" s="32" t="s">
        <v>56</v>
      </c>
    </row>
    <row r="16" spans="1:16" ht="15" customHeight="1">
      <c r="A16" s="43"/>
      <c r="B16" s="44" t="s">
        <v>71</v>
      </c>
      <c r="C16" s="41" t="s">
        <v>56</v>
      </c>
      <c r="D16" s="38" t="s">
        <v>56</v>
      </c>
      <c r="E16" s="54"/>
      <c r="F16" s="16"/>
      <c r="G16" s="16">
        <v>33400</v>
      </c>
      <c r="H16" s="16"/>
      <c r="I16" s="16">
        <v>53739</v>
      </c>
      <c r="J16" s="16"/>
      <c r="K16" s="16">
        <v>0</v>
      </c>
      <c r="L16" s="35"/>
      <c r="M16" s="16">
        <v>87139</v>
      </c>
      <c r="N16" s="2" t="s">
        <v>56</v>
      </c>
      <c r="O16" t="str">
        <f>A5</f>
        <v>일위01호</v>
      </c>
      <c r="P16" s="34"/>
    </row>
    <row r="17" spans="1:16" s="34" customFormat="1" ht="15" customHeight="1">
      <c r="A17" s="42" t="s">
        <v>136</v>
      </c>
      <c r="B17" s="49" t="s">
        <v>137</v>
      </c>
      <c r="C17" s="48" t="s">
        <v>130</v>
      </c>
      <c r="D17" s="50" t="s">
        <v>50</v>
      </c>
      <c r="E17" s="47"/>
      <c r="F17" s="33"/>
      <c r="G17" s="33"/>
      <c r="H17" s="33"/>
      <c r="I17" s="33"/>
      <c r="J17" s="33"/>
      <c r="K17" s="33"/>
      <c r="L17" s="33"/>
      <c r="M17" s="33"/>
      <c r="N17" s="32" t="s">
        <v>131</v>
      </c>
    </row>
    <row r="18" spans="1:16" s="34" customFormat="1" ht="15" customHeight="1">
      <c r="A18" s="42"/>
      <c r="B18" s="49" t="s">
        <v>91</v>
      </c>
      <c r="C18" s="48" t="s">
        <v>56</v>
      </c>
      <c r="D18" s="50" t="s">
        <v>86</v>
      </c>
      <c r="E18" s="47">
        <v>2.9000000000000001E-2</v>
      </c>
      <c r="F18" s="33"/>
      <c r="G18" s="33"/>
      <c r="H18" s="33">
        <v>137611</v>
      </c>
      <c r="I18" s="33">
        <f>E18*H18</f>
        <v>3990.7190000000001</v>
      </c>
      <c r="J18" s="33"/>
      <c r="K18" s="33"/>
      <c r="L18" s="33">
        <v>137611</v>
      </c>
      <c r="M18" s="33">
        <v>3990.7</v>
      </c>
      <c r="N18" s="32" t="s">
        <v>56</v>
      </c>
    </row>
    <row r="19" spans="1:16" s="34" customFormat="1" ht="15" customHeight="1">
      <c r="A19" s="42"/>
      <c r="B19" s="49" t="s">
        <v>60</v>
      </c>
      <c r="C19" s="48" t="s">
        <v>56</v>
      </c>
      <c r="D19" s="50" t="s">
        <v>86</v>
      </c>
      <c r="E19" s="47">
        <v>2.3E-2</v>
      </c>
      <c r="F19" s="33"/>
      <c r="G19" s="33"/>
      <c r="H19" s="33">
        <v>89566</v>
      </c>
      <c r="I19" s="33">
        <f t="shared" ref="I19:I39" si="0">E19*H19</f>
        <v>2060.018</v>
      </c>
      <c r="J19" s="33"/>
      <c r="K19" s="33"/>
      <c r="L19" s="33">
        <v>89566</v>
      </c>
      <c r="M19" s="33">
        <v>2060</v>
      </c>
      <c r="N19" s="32" t="s">
        <v>56</v>
      </c>
    </row>
    <row r="20" spans="1:16" s="34" customFormat="1" ht="15" customHeight="1">
      <c r="A20" s="42"/>
      <c r="B20" s="49" t="s">
        <v>132</v>
      </c>
      <c r="C20" s="48" t="s">
        <v>133</v>
      </c>
      <c r="D20" s="50" t="s">
        <v>78</v>
      </c>
      <c r="E20" s="47">
        <v>4.4499999999999998E-2</v>
      </c>
      <c r="F20" s="33">
        <v>9179</v>
      </c>
      <c r="G20" s="33">
        <v>408.4</v>
      </c>
      <c r="H20" s="33">
        <v>27168</v>
      </c>
      <c r="I20" s="33">
        <f t="shared" si="0"/>
        <v>1208.9759999999999</v>
      </c>
      <c r="J20" s="33">
        <v>47994</v>
      </c>
      <c r="K20" s="33">
        <v>2135.6999999999998</v>
      </c>
      <c r="L20" s="33">
        <v>84341</v>
      </c>
      <c r="M20" s="33">
        <v>3753</v>
      </c>
      <c r="N20" s="32" t="s">
        <v>134</v>
      </c>
    </row>
    <row r="21" spans="1:16" s="34" customFormat="1" ht="15" customHeight="1">
      <c r="A21" s="42"/>
      <c r="B21" s="49" t="s">
        <v>64</v>
      </c>
      <c r="C21" s="48" t="s">
        <v>99</v>
      </c>
      <c r="D21" s="50" t="s">
        <v>58</v>
      </c>
      <c r="E21" s="47" t="s">
        <v>88</v>
      </c>
      <c r="F21" s="33">
        <v>6050.7</v>
      </c>
      <c r="G21" s="33">
        <v>181.5</v>
      </c>
      <c r="H21" s="33"/>
      <c r="I21" s="33">
        <f t="shared" si="0"/>
        <v>0</v>
      </c>
      <c r="J21" s="33"/>
      <c r="K21" s="33"/>
      <c r="L21" s="33">
        <v>6050.7</v>
      </c>
      <c r="M21" s="33">
        <v>181.5</v>
      </c>
      <c r="N21" s="32" t="s">
        <v>69</v>
      </c>
    </row>
    <row r="22" spans="1:16" ht="15" customHeight="1">
      <c r="A22" s="43"/>
      <c r="B22" s="44" t="s">
        <v>135</v>
      </c>
      <c r="C22" s="41"/>
      <c r="D22" s="38"/>
      <c r="E22" s="54"/>
      <c r="F22" s="16"/>
      <c r="G22" s="16">
        <v>589</v>
      </c>
      <c r="H22" s="16"/>
      <c r="I22" s="16">
        <f>SUM(I18:I21)</f>
        <v>7259.7129999999997</v>
      </c>
      <c r="J22" s="16"/>
      <c r="K22" s="16">
        <v>2135</v>
      </c>
      <c r="L22" s="35"/>
      <c r="M22" s="16">
        <v>9983</v>
      </c>
      <c r="N22" s="2"/>
      <c r="O22" t="str">
        <f>A17</f>
        <v>일위02호</v>
      </c>
      <c r="P22" s="34"/>
    </row>
    <row r="23" spans="1:16" s="34" customFormat="1" ht="15" customHeight="1">
      <c r="A23" s="42" t="s">
        <v>145</v>
      </c>
      <c r="B23" s="49" t="s">
        <v>143</v>
      </c>
      <c r="C23" s="48"/>
      <c r="D23" s="50"/>
      <c r="E23" s="47"/>
      <c r="F23" s="33"/>
      <c r="G23" s="33"/>
      <c r="H23" s="33"/>
      <c r="I23" s="33"/>
      <c r="J23" s="33"/>
      <c r="K23" s="33"/>
      <c r="L23" s="33"/>
      <c r="M23" s="33"/>
      <c r="N23" s="32"/>
    </row>
    <row r="24" spans="1:16" s="34" customFormat="1" ht="15" customHeight="1">
      <c r="A24" s="42"/>
      <c r="B24" s="49" t="s">
        <v>138</v>
      </c>
      <c r="C24" s="48" t="s">
        <v>139</v>
      </c>
      <c r="D24" s="50" t="s">
        <v>92</v>
      </c>
      <c r="E24" s="47">
        <v>3.9</v>
      </c>
      <c r="F24" s="33">
        <v>3400</v>
      </c>
      <c r="G24" s="33">
        <v>13260</v>
      </c>
      <c r="H24" s="33">
        <v>0</v>
      </c>
      <c r="I24" s="33">
        <f t="shared" si="0"/>
        <v>0</v>
      </c>
      <c r="J24" s="33">
        <v>0</v>
      </c>
      <c r="K24" s="33">
        <v>0</v>
      </c>
      <c r="L24" s="33">
        <f>SUM(F24,H24,J24)</f>
        <v>3400</v>
      </c>
      <c r="M24" s="33">
        <f>SUM(G24,I24,K24)</f>
        <v>13260</v>
      </c>
      <c r="N24" s="32" t="s">
        <v>56</v>
      </c>
    </row>
    <row r="25" spans="1:16" s="34" customFormat="1" ht="15" customHeight="1">
      <c r="A25" s="42"/>
      <c r="B25" s="49" t="s">
        <v>138</v>
      </c>
      <c r="C25" s="48" t="s">
        <v>140</v>
      </c>
      <c r="D25" s="50" t="s">
        <v>92</v>
      </c>
      <c r="E25" s="47">
        <v>0.29499999999999998</v>
      </c>
      <c r="F25" s="33">
        <v>4000</v>
      </c>
      <c r="G25" s="33">
        <v>1180</v>
      </c>
      <c r="H25" s="33">
        <v>0</v>
      </c>
      <c r="I25" s="33">
        <f t="shared" si="0"/>
        <v>0</v>
      </c>
      <c r="J25" s="33">
        <v>0</v>
      </c>
      <c r="K25" s="33">
        <v>0</v>
      </c>
      <c r="L25" s="33">
        <f t="shared" ref="L25:L39" si="1">SUM(F25,H25,J25)</f>
        <v>4000</v>
      </c>
      <c r="M25" s="33">
        <f t="shared" ref="M25:M40" si="2">SUM(G25,I25,K25)</f>
        <v>1180</v>
      </c>
      <c r="N25" s="32" t="s">
        <v>56</v>
      </c>
    </row>
    <row r="26" spans="1:16" s="34" customFormat="1" ht="15" customHeight="1">
      <c r="A26" s="42"/>
      <c r="B26" s="49" t="s">
        <v>138</v>
      </c>
      <c r="C26" s="48" t="s">
        <v>141</v>
      </c>
      <c r="D26" s="50" t="s">
        <v>82</v>
      </c>
      <c r="E26" s="47">
        <v>0.40200000000000002</v>
      </c>
      <c r="F26" s="33">
        <v>3450</v>
      </c>
      <c r="G26" s="33">
        <v>1386.9</v>
      </c>
      <c r="H26" s="33">
        <v>0</v>
      </c>
      <c r="I26" s="33">
        <f t="shared" si="0"/>
        <v>0</v>
      </c>
      <c r="J26" s="33">
        <v>0</v>
      </c>
      <c r="K26" s="33">
        <v>0</v>
      </c>
      <c r="L26" s="33">
        <f t="shared" si="1"/>
        <v>3450</v>
      </c>
      <c r="M26" s="33">
        <f t="shared" si="2"/>
        <v>1386.9</v>
      </c>
      <c r="N26" s="32" t="s">
        <v>56</v>
      </c>
    </row>
    <row r="27" spans="1:16" s="34" customFormat="1" ht="15" customHeight="1">
      <c r="A27" s="42"/>
      <c r="B27" s="49" t="s">
        <v>138</v>
      </c>
      <c r="C27" s="48" t="s">
        <v>142</v>
      </c>
      <c r="D27" s="50" t="s">
        <v>82</v>
      </c>
      <c r="E27" s="47">
        <v>0.41</v>
      </c>
      <c r="F27" s="33">
        <v>1980</v>
      </c>
      <c r="G27" s="33">
        <v>811.8</v>
      </c>
      <c r="H27" s="33">
        <v>0</v>
      </c>
      <c r="I27" s="33">
        <f t="shared" si="0"/>
        <v>0</v>
      </c>
      <c r="J27" s="33">
        <v>0</v>
      </c>
      <c r="K27" s="33">
        <v>0</v>
      </c>
      <c r="L27" s="33">
        <f t="shared" si="1"/>
        <v>1980</v>
      </c>
      <c r="M27" s="33">
        <f t="shared" si="2"/>
        <v>811.8</v>
      </c>
      <c r="N27" s="32" t="s">
        <v>56</v>
      </c>
    </row>
    <row r="28" spans="1:16" s="34" customFormat="1" ht="15" customHeight="1">
      <c r="A28" s="42"/>
      <c r="B28" s="49" t="s">
        <v>55</v>
      </c>
      <c r="C28" s="48" t="s">
        <v>77</v>
      </c>
      <c r="D28" s="50" t="s">
        <v>86</v>
      </c>
      <c r="E28" s="47">
        <v>0.08</v>
      </c>
      <c r="F28" s="33">
        <v>0</v>
      </c>
      <c r="G28" s="33">
        <v>0</v>
      </c>
      <c r="H28" s="33">
        <v>105008</v>
      </c>
      <c r="I28" s="33">
        <f t="shared" si="0"/>
        <v>8400.64</v>
      </c>
      <c r="J28" s="33">
        <v>0</v>
      </c>
      <c r="K28" s="33">
        <v>0</v>
      </c>
      <c r="L28" s="33">
        <f t="shared" si="1"/>
        <v>105008</v>
      </c>
      <c r="M28" s="33">
        <f t="shared" si="2"/>
        <v>8400.64</v>
      </c>
      <c r="N28" s="32" t="s">
        <v>56</v>
      </c>
    </row>
    <row r="29" spans="1:16" s="34" customFormat="1" ht="15" customHeight="1">
      <c r="A29" s="42"/>
      <c r="B29" s="49" t="s">
        <v>55</v>
      </c>
      <c r="C29" s="48" t="s">
        <v>60</v>
      </c>
      <c r="D29" s="50" t="s">
        <v>86</v>
      </c>
      <c r="E29" s="47">
        <v>0.05</v>
      </c>
      <c r="F29" s="33">
        <v>0</v>
      </c>
      <c r="G29" s="33">
        <v>0</v>
      </c>
      <c r="H29" s="33">
        <v>89566</v>
      </c>
      <c r="I29" s="33">
        <f t="shared" si="0"/>
        <v>4478.3</v>
      </c>
      <c r="J29" s="33">
        <v>0</v>
      </c>
      <c r="K29" s="33">
        <v>0</v>
      </c>
      <c r="L29" s="33">
        <f t="shared" si="1"/>
        <v>89566</v>
      </c>
      <c r="M29" s="33">
        <f t="shared" si="2"/>
        <v>4478.3</v>
      </c>
      <c r="N29" s="32" t="s">
        <v>56</v>
      </c>
    </row>
    <row r="30" spans="1:16" s="34" customFormat="1" ht="15" customHeight="1">
      <c r="A30" s="42"/>
      <c r="B30" s="49" t="s">
        <v>64</v>
      </c>
      <c r="C30" s="48" t="s">
        <v>99</v>
      </c>
      <c r="D30" s="50" t="s">
        <v>58</v>
      </c>
      <c r="E30" s="47">
        <v>1</v>
      </c>
      <c r="F30" s="33">
        <v>374.32</v>
      </c>
      <c r="G30" s="33">
        <v>374.3</v>
      </c>
      <c r="H30" s="33">
        <v>0</v>
      </c>
      <c r="I30" s="33">
        <f t="shared" si="0"/>
        <v>0</v>
      </c>
      <c r="J30" s="33">
        <v>0</v>
      </c>
      <c r="K30" s="33">
        <v>0</v>
      </c>
      <c r="L30" s="33">
        <f t="shared" si="1"/>
        <v>374.32</v>
      </c>
      <c r="M30" s="33">
        <f t="shared" si="2"/>
        <v>374.3</v>
      </c>
      <c r="N30" s="32" t="s">
        <v>56</v>
      </c>
    </row>
    <row r="31" spans="1:16" ht="15" customHeight="1">
      <c r="A31" s="43"/>
      <c r="B31" s="44" t="s">
        <v>71</v>
      </c>
      <c r="C31" s="41" t="s">
        <v>56</v>
      </c>
      <c r="D31" s="38" t="s">
        <v>56</v>
      </c>
      <c r="E31" s="54"/>
      <c r="F31" s="16"/>
      <c r="G31" s="16">
        <v>17013</v>
      </c>
      <c r="H31" s="16"/>
      <c r="I31" s="16">
        <f>SUM(I24:I30)</f>
        <v>12878.939999999999</v>
      </c>
      <c r="J31" s="16"/>
      <c r="K31" s="16">
        <v>0</v>
      </c>
      <c r="L31" s="35"/>
      <c r="M31" s="16">
        <f t="shared" si="2"/>
        <v>29891.94</v>
      </c>
      <c r="N31" s="2" t="s">
        <v>56</v>
      </c>
      <c r="O31" t="str">
        <f>A23</f>
        <v>일위03호</v>
      </c>
      <c r="P31" s="34"/>
    </row>
    <row r="32" spans="1:16" s="34" customFormat="1" ht="15" customHeight="1">
      <c r="A32" s="42" t="s">
        <v>146</v>
      </c>
      <c r="B32" s="49" t="s">
        <v>144</v>
      </c>
      <c r="C32" s="48"/>
      <c r="D32" s="50"/>
      <c r="E32" s="47"/>
      <c r="F32" s="33"/>
      <c r="G32" s="33"/>
      <c r="H32" s="33"/>
      <c r="I32" s="33"/>
      <c r="J32" s="33"/>
      <c r="K32" s="33"/>
      <c r="L32" s="33"/>
      <c r="M32" s="33"/>
      <c r="N32" s="32"/>
    </row>
    <row r="33" spans="1:16" s="34" customFormat="1" ht="15" customHeight="1">
      <c r="A33" s="42"/>
      <c r="B33" s="49" t="s">
        <v>138</v>
      </c>
      <c r="C33" s="48" t="s">
        <v>139</v>
      </c>
      <c r="D33" s="50" t="s">
        <v>92</v>
      </c>
      <c r="E33" s="47">
        <v>3.9</v>
      </c>
      <c r="F33" s="33">
        <v>3400</v>
      </c>
      <c r="G33" s="33">
        <v>13260</v>
      </c>
      <c r="H33" s="33">
        <v>0</v>
      </c>
      <c r="I33" s="33">
        <f t="shared" si="0"/>
        <v>0</v>
      </c>
      <c r="J33" s="33">
        <v>0</v>
      </c>
      <c r="K33" s="33">
        <v>0</v>
      </c>
      <c r="L33" s="33">
        <f t="shared" si="1"/>
        <v>3400</v>
      </c>
      <c r="M33" s="33">
        <f t="shared" si="2"/>
        <v>13260</v>
      </c>
      <c r="N33" s="32" t="s">
        <v>56</v>
      </c>
    </row>
    <row r="34" spans="1:16" s="34" customFormat="1" ht="15" customHeight="1">
      <c r="A34" s="42"/>
      <c r="B34" s="49" t="s">
        <v>138</v>
      </c>
      <c r="C34" s="48" t="s">
        <v>140</v>
      </c>
      <c r="D34" s="50" t="s">
        <v>92</v>
      </c>
      <c r="E34" s="47">
        <v>0.29499999999999998</v>
      </c>
      <c r="F34" s="33">
        <v>4000</v>
      </c>
      <c r="G34" s="33">
        <v>1180</v>
      </c>
      <c r="H34" s="33">
        <v>0</v>
      </c>
      <c r="I34" s="33">
        <f t="shared" si="0"/>
        <v>0</v>
      </c>
      <c r="J34" s="33">
        <v>0</v>
      </c>
      <c r="K34" s="33">
        <v>0</v>
      </c>
      <c r="L34" s="33">
        <f t="shared" si="1"/>
        <v>4000</v>
      </c>
      <c r="M34" s="33">
        <f t="shared" si="2"/>
        <v>1180</v>
      </c>
      <c r="N34" s="32" t="s">
        <v>56</v>
      </c>
    </row>
    <row r="35" spans="1:16" s="34" customFormat="1" ht="15" customHeight="1">
      <c r="A35" s="42"/>
      <c r="B35" s="49" t="s">
        <v>138</v>
      </c>
      <c r="C35" s="48" t="s">
        <v>141</v>
      </c>
      <c r="D35" s="50" t="s">
        <v>82</v>
      </c>
      <c r="E35" s="47">
        <v>0.40200000000000002</v>
      </c>
      <c r="F35" s="33">
        <v>3450</v>
      </c>
      <c r="G35" s="33">
        <v>1386.9</v>
      </c>
      <c r="H35" s="33">
        <v>0</v>
      </c>
      <c r="I35" s="33">
        <f t="shared" si="0"/>
        <v>0</v>
      </c>
      <c r="J35" s="33">
        <v>0</v>
      </c>
      <c r="K35" s="33">
        <v>0</v>
      </c>
      <c r="L35" s="33">
        <f t="shared" si="1"/>
        <v>3450</v>
      </c>
      <c r="M35" s="33">
        <f t="shared" si="2"/>
        <v>1386.9</v>
      </c>
      <c r="N35" s="32" t="s">
        <v>56</v>
      </c>
    </row>
    <row r="36" spans="1:16" s="34" customFormat="1" ht="15" customHeight="1">
      <c r="A36" s="42"/>
      <c r="B36" s="49" t="s">
        <v>138</v>
      </c>
      <c r="C36" s="48" t="s">
        <v>142</v>
      </c>
      <c r="D36" s="50" t="s">
        <v>82</v>
      </c>
      <c r="E36" s="47">
        <v>0.41</v>
      </c>
      <c r="F36" s="33">
        <v>1980</v>
      </c>
      <c r="G36" s="33">
        <v>811.8</v>
      </c>
      <c r="H36" s="33">
        <v>0</v>
      </c>
      <c r="I36" s="33">
        <f t="shared" si="0"/>
        <v>0</v>
      </c>
      <c r="J36" s="33">
        <v>0</v>
      </c>
      <c r="K36" s="33">
        <v>0</v>
      </c>
      <c r="L36" s="33">
        <f t="shared" si="1"/>
        <v>1980</v>
      </c>
      <c r="M36" s="33">
        <f t="shared" si="2"/>
        <v>811.8</v>
      </c>
      <c r="N36" s="32" t="s">
        <v>56</v>
      </c>
    </row>
    <row r="37" spans="1:16" s="34" customFormat="1" ht="15" customHeight="1">
      <c r="A37" s="42"/>
      <c r="B37" s="49" t="s">
        <v>55</v>
      </c>
      <c r="C37" s="48" t="s">
        <v>77</v>
      </c>
      <c r="D37" s="50" t="s">
        <v>86</v>
      </c>
      <c r="E37" s="47">
        <v>0.104</v>
      </c>
      <c r="F37" s="33">
        <v>0</v>
      </c>
      <c r="G37" s="33">
        <v>0</v>
      </c>
      <c r="H37" s="33">
        <v>105008</v>
      </c>
      <c r="I37" s="33">
        <f t="shared" si="0"/>
        <v>10920.832</v>
      </c>
      <c r="J37" s="33">
        <v>0</v>
      </c>
      <c r="K37" s="33">
        <v>0</v>
      </c>
      <c r="L37" s="33">
        <f t="shared" si="1"/>
        <v>105008</v>
      </c>
      <c r="M37" s="33">
        <f t="shared" si="2"/>
        <v>10920.832</v>
      </c>
      <c r="N37" s="32" t="s">
        <v>56</v>
      </c>
    </row>
    <row r="38" spans="1:16" s="34" customFormat="1" ht="15" customHeight="1">
      <c r="A38" s="42"/>
      <c r="B38" s="49" t="s">
        <v>55</v>
      </c>
      <c r="C38" s="48" t="s">
        <v>60</v>
      </c>
      <c r="D38" s="50" t="s">
        <v>86</v>
      </c>
      <c r="E38" s="47">
        <v>6.5000000000000002E-2</v>
      </c>
      <c r="F38" s="33">
        <v>0</v>
      </c>
      <c r="G38" s="33">
        <v>0</v>
      </c>
      <c r="H38" s="33">
        <v>89566</v>
      </c>
      <c r="I38" s="33">
        <f t="shared" si="0"/>
        <v>5821.79</v>
      </c>
      <c r="J38" s="33">
        <v>0</v>
      </c>
      <c r="K38" s="33">
        <v>0</v>
      </c>
      <c r="L38" s="33">
        <f t="shared" si="1"/>
        <v>89566</v>
      </c>
      <c r="M38" s="33">
        <f t="shared" si="2"/>
        <v>5821.79</v>
      </c>
      <c r="N38" s="32" t="s">
        <v>56</v>
      </c>
    </row>
    <row r="39" spans="1:16" s="34" customFormat="1" ht="15" customHeight="1">
      <c r="A39" s="42"/>
      <c r="B39" s="49" t="s">
        <v>64</v>
      </c>
      <c r="C39" s="48" t="s">
        <v>99</v>
      </c>
      <c r="D39" s="50" t="s">
        <v>58</v>
      </c>
      <c r="E39" s="47">
        <v>1</v>
      </c>
      <c r="F39" s="33">
        <v>486.62</v>
      </c>
      <c r="G39" s="33">
        <v>486.6</v>
      </c>
      <c r="H39" s="33">
        <v>0</v>
      </c>
      <c r="I39" s="33">
        <f t="shared" si="0"/>
        <v>0</v>
      </c>
      <c r="J39" s="33">
        <v>0</v>
      </c>
      <c r="K39" s="33">
        <v>0</v>
      </c>
      <c r="L39" s="33">
        <f t="shared" si="1"/>
        <v>486.62</v>
      </c>
      <c r="M39" s="33">
        <f t="shared" si="2"/>
        <v>486.6</v>
      </c>
      <c r="N39" s="32" t="s">
        <v>56</v>
      </c>
    </row>
    <row r="40" spans="1:16" ht="15" customHeight="1">
      <c r="A40" s="43"/>
      <c r="B40" s="44" t="s">
        <v>71</v>
      </c>
      <c r="C40" s="41" t="s">
        <v>56</v>
      </c>
      <c r="D40" s="38" t="s">
        <v>56</v>
      </c>
      <c r="E40" s="54"/>
      <c r="F40" s="16"/>
      <c r="G40" s="16">
        <v>17125</v>
      </c>
      <c r="H40" s="16"/>
      <c r="I40" s="16">
        <f>SUM(I33:I39)</f>
        <v>16742.621999999999</v>
      </c>
      <c r="J40" s="16"/>
      <c r="K40" s="16">
        <v>0</v>
      </c>
      <c r="L40" s="35"/>
      <c r="M40" s="16">
        <f t="shared" si="2"/>
        <v>33867.622000000003</v>
      </c>
      <c r="N40" s="2" t="s">
        <v>56</v>
      </c>
      <c r="O40" t="str">
        <f>A32</f>
        <v>일위04호</v>
      </c>
      <c r="P40" s="34"/>
    </row>
    <row r="41" spans="1:16" s="34" customFormat="1" ht="15" customHeight="1">
      <c r="A41" s="42" t="s">
        <v>149</v>
      </c>
      <c r="B41" s="49" t="s">
        <v>150</v>
      </c>
      <c r="C41" s="48" t="s">
        <v>147</v>
      </c>
      <c r="D41" s="50" t="s">
        <v>94</v>
      </c>
      <c r="E41" s="47"/>
      <c r="F41" s="33"/>
      <c r="G41" s="33"/>
      <c r="H41" s="33"/>
      <c r="I41" s="33"/>
      <c r="J41" s="33"/>
      <c r="K41" s="33"/>
      <c r="L41" s="33"/>
      <c r="M41" s="33"/>
      <c r="N41" s="32" t="s">
        <v>148</v>
      </c>
    </row>
    <row r="42" spans="1:16" s="34" customFormat="1" ht="15" customHeight="1">
      <c r="A42" s="42"/>
      <c r="B42" s="49" t="s">
        <v>60</v>
      </c>
      <c r="C42" s="48"/>
      <c r="D42" s="50" t="s">
        <v>86</v>
      </c>
      <c r="E42" s="47">
        <v>0.02</v>
      </c>
      <c r="F42" s="33"/>
      <c r="G42" s="33"/>
      <c r="H42" s="33">
        <v>87805</v>
      </c>
      <c r="I42" s="33">
        <v>1756.1</v>
      </c>
      <c r="J42" s="33"/>
      <c r="K42" s="33"/>
      <c r="L42" s="33">
        <v>87805</v>
      </c>
      <c r="M42" s="33">
        <v>1756.1</v>
      </c>
      <c r="N42" s="32"/>
    </row>
    <row r="43" spans="1:16" ht="15" customHeight="1">
      <c r="A43" s="43"/>
      <c r="B43" s="44" t="s">
        <v>48</v>
      </c>
      <c r="C43" s="41"/>
      <c r="D43" s="38"/>
      <c r="E43" s="54"/>
      <c r="F43" s="16"/>
      <c r="G43" s="16">
        <v>0</v>
      </c>
      <c r="H43" s="16"/>
      <c r="I43" s="16">
        <v>1756.1</v>
      </c>
      <c r="J43" s="16"/>
      <c r="K43" s="16"/>
      <c r="L43" s="35"/>
      <c r="M43" s="16">
        <v>1756.1</v>
      </c>
      <c r="N43" s="2"/>
      <c r="O43" t="str">
        <f>A41</f>
        <v>일위05호</v>
      </c>
      <c r="P43" s="34"/>
    </row>
    <row r="44" spans="1:16" s="34" customFormat="1" ht="15" customHeight="1">
      <c r="A44" s="42" t="s">
        <v>158</v>
      </c>
      <c r="B44" s="49" t="s">
        <v>157</v>
      </c>
      <c r="C44" s="48" t="s">
        <v>129</v>
      </c>
      <c r="D44" s="50" t="s">
        <v>94</v>
      </c>
      <c r="E44" s="47"/>
      <c r="F44" s="33"/>
      <c r="G44" s="33"/>
      <c r="H44" s="33"/>
      <c r="I44" s="33"/>
      <c r="J44" s="33"/>
      <c r="K44" s="33"/>
      <c r="L44" s="33"/>
      <c r="M44" s="33"/>
      <c r="N44" s="32" t="s">
        <v>151</v>
      </c>
    </row>
    <row r="45" spans="1:16" s="34" customFormat="1" ht="15" customHeight="1">
      <c r="A45" s="42"/>
      <c r="B45" s="49" t="s">
        <v>152</v>
      </c>
      <c r="C45" s="48"/>
      <c r="D45" s="50" t="s">
        <v>80</v>
      </c>
      <c r="E45" s="47">
        <v>0.3</v>
      </c>
      <c r="F45" s="33">
        <v>12000</v>
      </c>
      <c r="G45" s="33">
        <v>3600</v>
      </c>
      <c r="H45" s="33"/>
      <c r="I45" s="33"/>
      <c r="J45" s="33"/>
      <c r="K45" s="33"/>
      <c r="L45" s="33">
        <v>12000</v>
      </c>
      <c r="M45" s="33">
        <v>3600</v>
      </c>
      <c r="N45" s="32"/>
    </row>
    <row r="46" spans="1:16" s="34" customFormat="1" ht="15" customHeight="1">
      <c r="A46" s="42"/>
      <c r="B46" s="49" t="s">
        <v>153</v>
      </c>
      <c r="C46" s="48"/>
      <c r="D46" s="50" t="s">
        <v>80</v>
      </c>
      <c r="E46" s="47">
        <v>0.34</v>
      </c>
      <c r="F46" s="33">
        <v>15000</v>
      </c>
      <c r="G46" s="33">
        <v>5100</v>
      </c>
      <c r="H46" s="33"/>
      <c r="I46" s="33"/>
      <c r="J46" s="33"/>
      <c r="K46" s="33"/>
      <c r="L46" s="33">
        <v>15000</v>
      </c>
      <c r="M46" s="33">
        <v>5100</v>
      </c>
      <c r="N46" s="32"/>
    </row>
    <row r="47" spans="1:16" s="34" customFormat="1" ht="15" customHeight="1">
      <c r="A47" s="42"/>
      <c r="B47" s="49" t="s">
        <v>154</v>
      </c>
      <c r="C47" s="48"/>
      <c r="D47" s="50" t="s">
        <v>94</v>
      </c>
      <c r="E47" s="47">
        <v>1</v>
      </c>
      <c r="F47" s="33">
        <v>11000</v>
      </c>
      <c r="G47" s="33">
        <v>11000</v>
      </c>
      <c r="H47" s="33"/>
      <c r="I47" s="33"/>
      <c r="J47" s="33"/>
      <c r="K47" s="33"/>
      <c r="L47" s="33">
        <v>11000</v>
      </c>
      <c r="M47" s="33">
        <v>11000</v>
      </c>
      <c r="N47" s="32"/>
    </row>
    <row r="48" spans="1:16" s="34" customFormat="1" ht="15" customHeight="1">
      <c r="A48" s="42"/>
      <c r="B48" s="49" t="s">
        <v>155</v>
      </c>
      <c r="C48" s="48"/>
      <c r="D48" s="50" t="s">
        <v>94</v>
      </c>
      <c r="E48" s="47">
        <v>1</v>
      </c>
      <c r="F48" s="33">
        <v>30000</v>
      </c>
      <c r="G48" s="33">
        <v>30000</v>
      </c>
      <c r="H48" s="33"/>
      <c r="I48" s="33"/>
      <c r="J48" s="33"/>
      <c r="K48" s="33"/>
      <c r="L48" s="33">
        <v>30000</v>
      </c>
      <c r="M48" s="33">
        <v>30000</v>
      </c>
      <c r="N48" s="32"/>
    </row>
    <row r="49" spans="1:16" s="34" customFormat="1" ht="15" customHeight="1">
      <c r="A49" s="42"/>
      <c r="B49" s="49" t="s">
        <v>156</v>
      </c>
      <c r="C49" s="48"/>
      <c r="D49" s="50" t="s">
        <v>80</v>
      </c>
      <c r="E49" s="47">
        <v>0.35</v>
      </c>
      <c r="F49" s="33">
        <v>11000</v>
      </c>
      <c r="G49" s="33">
        <v>3850</v>
      </c>
      <c r="H49" s="33"/>
      <c r="I49" s="33"/>
      <c r="J49" s="33"/>
      <c r="K49" s="33"/>
      <c r="L49" s="33">
        <v>11000</v>
      </c>
      <c r="M49" s="33">
        <v>3850</v>
      </c>
      <c r="N49" s="32"/>
    </row>
    <row r="50" spans="1:16" s="34" customFormat="1" ht="15" customHeight="1">
      <c r="A50" s="42"/>
      <c r="B50" s="49" t="s">
        <v>77</v>
      </c>
      <c r="C50" s="48"/>
      <c r="D50" s="50" t="s">
        <v>86</v>
      </c>
      <c r="E50" s="47">
        <v>0.08</v>
      </c>
      <c r="F50" s="33"/>
      <c r="G50" s="33"/>
      <c r="H50" s="33">
        <v>101093</v>
      </c>
      <c r="I50" s="33">
        <v>8087.4</v>
      </c>
      <c r="J50" s="33"/>
      <c r="K50" s="33"/>
      <c r="L50" s="33">
        <v>101093</v>
      </c>
      <c r="M50" s="33">
        <v>8087.4</v>
      </c>
      <c r="N50" s="32"/>
    </row>
    <row r="51" spans="1:16" s="34" customFormat="1" ht="15" customHeight="1">
      <c r="A51" s="42"/>
      <c r="B51" s="49" t="s">
        <v>60</v>
      </c>
      <c r="C51" s="48"/>
      <c r="D51" s="50" t="s">
        <v>86</v>
      </c>
      <c r="E51" s="47">
        <v>7.0000000000000007E-2</v>
      </c>
      <c r="F51" s="33"/>
      <c r="G51" s="33"/>
      <c r="H51" s="33">
        <v>87805</v>
      </c>
      <c r="I51" s="33">
        <v>6146.3</v>
      </c>
      <c r="J51" s="33"/>
      <c r="K51" s="33"/>
      <c r="L51" s="33">
        <v>87805</v>
      </c>
      <c r="M51" s="33">
        <v>6146.3</v>
      </c>
      <c r="N51" s="32"/>
    </row>
    <row r="52" spans="1:16" s="34" customFormat="1" ht="15" customHeight="1">
      <c r="A52" s="42"/>
      <c r="B52" s="49" t="s">
        <v>64</v>
      </c>
      <c r="C52" s="48" t="s">
        <v>70</v>
      </c>
      <c r="D52" s="50" t="s">
        <v>58</v>
      </c>
      <c r="E52" s="47">
        <v>1</v>
      </c>
      <c r="F52" s="33"/>
      <c r="G52" s="33"/>
      <c r="H52" s="33"/>
      <c r="I52" s="33"/>
      <c r="J52" s="33"/>
      <c r="K52" s="33">
        <v>427.1</v>
      </c>
      <c r="L52" s="33"/>
      <c r="M52" s="33">
        <v>427.1</v>
      </c>
      <c r="N52" s="32"/>
    </row>
    <row r="53" spans="1:16" ht="15" customHeight="1">
      <c r="A53" s="43"/>
      <c r="B53" s="44" t="s">
        <v>48</v>
      </c>
      <c r="C53" s="41"/>
      <c r="D53" s="38"/>
      <c r="E53" s="54"/>
      <c r="F53" s="16"/>
      <c r="G53" s="16">
        <v>53550</v>
      </c>
      <c r="H53" s="16"/>
      <c r="I53" s="16">
        <v>14233.7</v>
      </c>
      <c r="J53" s="16"/>
      <c r="K53" s="16">
        <v>427.1</v>
      </c>
      <c r="L53" s="35"/>
      <c r="M53" s="16">
        <v>68210.8</v>
      </c>
      <c r="N53" s="2"/>
      <c r="O53" t="str">
        <f>A44</f>
        <v>일위06호</v>
      </c>
      <c r="P53" s="34"/>
    </row>
    <row r="54" spans="1:16" s="34" customFormat="1" ht="15" customHeight="1">
      <c r="A54" s="42" t="s">
        <v>163</v>
      </c>
      <c r="B54" s="49" t="s">
        <v>164</v>
      </c>
      <c r="C54" s="48" t="s">
        <v>159</v>
      </c>
      <c r="D54" s="50" t="s">
        <v>87</v>
      </c>
      <c r="E54" s="47"/>
      <c r="F54" s="33"/>
      <c r="G54" s="33"/>
      <c r="H54" s="33"/>
      <c r="I54" s="33"/>
      <c r="J54" s="33"/>
      <c r="K54" s="33"/>
      <c r="L54" s="33"/>
      <c r="M54" s="33"/>
      <c r="N54" s="32" t="s">
        <v>160</v>
      </c>
    </row>
    <row r="55" spans="1:16" s="34" customFormat="1" ht="15" customHeight="1">
      <c r="A55" s="42"/>
      <c r="B55" s="49" t="s">
        <v>161</v>
      </c>
      <c r="C55" s="48" t="s">
        <v>162</v>
      </c>
      <c r="D55" s="50" t="s">
        <v>83</v>
      </c>
      <c r="E55" s="47">
        <v>1</v>
      </c>
      <c r="F55" s="33">
        <v>3300</v>
      </c>
      <c r="G55" s="33">
        <v>3300</v>
      </c>
      <c r="H55" s="33"/>
      <c r="I55" s="33"/>
      <c r="J55" s="33"/>
      <c r="K55" s="33"/>
      <c r="L55" s="33">
        <v>3300</v>
      </c>
      <c r="M55" s="33">
        <v>3300</v>
      </c>
      <c r="N55" s="32" t="s">
        <v>56</v>
      </c>
    </row>
    <row r="56" spans="1:16" s="34" customFormat="1" ht="15" customHeight="1">
      <c r="A56" s="42"/>
      <c r="B56" s="49" t="s">
        <v>85</v>
      </c>
      <c r="C56" s="48" t="s">
        <v>56</v>
      </c>
      <c r="D56" s="50" t="s">
        <v>86</v>
      </c>
      <c r="E56" s="47">
        <v>0.18</v>
      </c>
      <c r="F56" s="33"/>
      <c r="G56" s="33"/>
      <c r="H56" s="33">
        <v>122333</v>
      </c>
      <c r="I56" s="33">
        <v>22019.9</v>
      </c>
      <c r="J56" s="33"/>
      <c r="K56" s="33"/>
      <c r="L56" s="33">
        <v>122333</v>
      </c>
      <c r="M56" s="33">
        <v>22019.9</v>
      </c>
      <c r="N56" s="32" t="s">
        <v>56</v>
      </c>
    </row>
    <row r="57" spans="1:16" ht="15" customHeight="1">
      <c r="A57" s="43"/>
      <c r="B57" s="44" t="s">
        <v>48</v>
      </c>
      <c r="C57" s="41"/>
      <c r="D57" s="38"/>
      <c r="E57" s="54"/>
      <c r="F57" s="16"/>
      <c r="G57" s="16">
        <v>3300</v>
      </c>
      <c r="H57" s="16"/>
      <c r="I57" s="16">
        <v>22019</v>
      </c>
      <c r="J57" s="16"/>
      <c r="K57" s="16">
        <v>0</v>
      </c>
      <c r="L57" s="35"/>
      <c r="M57" s="16">
        <v>25319</v>
      </c>
      <c r="N57" s="2"/>
      <c r="O57" t="str">
        <f>A54</f>
        <v>일위07호</v>
      </c>
      <c r="P57" s="34"/>
    </row>
    <row r="58" spans="1:16" s="34" customFormat="1" ht="15" customHeight="1">
      <c r="A58" s="42" t="s">
        <v>167</v>
      </c>
      <c r="B58" s="49" t="s">
        <v>171</v>
      </c>
      <c r="C58" s="48"/>
      <c r="D58" s="50"/>
      <c r="E58" s="47"/>
      <c r="F58" s="33"/>
      <c r="G58" s="33"/>
      <c r="H58" s="33"/>
      <c r="I58" s="33"/>
      <c r="J58" s="33"/>
      <c r="K58" s="33"/>
      <c r="L58" s="33"/>
      <c r="M58" s="33"/>
      <c r="N58" s="32"/>
    </row>
    <row r="59" spans="1:16" s="34" customFormat="1" ht="15" customHeight="1">
      <c r="A59" s="42"/>
      <c r="B59" s="49" t="s">
        <v>165</v>
      </c>
      <c r="C59" s="48" t="s">
        <v>166</v>
      </c>
      <c r="D59" s="50" t="s">
        <v>82</v>
      </c>
      <c r="E59" s="47">
        <v>0.12</v>
      </c>
      <c r="F59" s="33">
        <v>9310</v>
      </c>
      <c r="G59" s="33">
        <v>1117.2</v>
      </c>
      <c r="H59" s="33">
        <v>0</v>
      </c>
      <c r="I59" s="33">
        <v>0</v>
      </c>
      <c r="J59" s="33">
        <v>0</v>
      </c>
      <c r="K59" s="33">
        <v>0</v>
      </c>
      <c r="L59" s="33">
        <v>9310</v>
      </c>
      <c r="M59" s="33">
        <v>1117.2</v>
      </c>
      <c r="N59" s="32" t="s">
        <v>56</v>
      </c>
    </row>
    <row r="60" spans="1:16" s="34" customFormat="1" ht="15" customHeight="1">
      <c r="A60" s="42"/>
      <c r="B60" s="49" t="s">
        <v>55</v>
      </c>
      <c r="C60" s="48" t="s">
        <v>96</v>
      </c>
      <c r="D60" s="50" t="s">
        <v>86</v>
      </c>
      <c r="E60" s="47">
        <v>0.03</v>
      </c>
      <c r="F60" s="33">
        <v>0</v>
      </c>
      <c r="G60" s="33">
        <v>0</v>
      </c>
      <c r="H60" s="33">
        <v>115796</v>
      </c>
      <c r="I60" s="33">
        <v>3473.8</v>
      </c>
      <c r="J60" s="33">
        <v>0</v>
      </c>
      <c r="K60" s="33">
        <v>0</v>
      </c>
      <c r="L60" s="33">
        <v>115796</v>
      </c>
      <c r="M60" s="33">
        <v>3473.8</v>
      </c>
      <c r="N60" s="32" t="s">
        <v>56</v>
      </c>
    </row>
    <row r="61" spans="1:16" s="34" customFormat="1" ht="15" customHeight="1">
      <c r="A61" s="42"/>
      <c r="B61" s="49" t="s">
        <v>172</v>
      </c>
      <c r="C61" s="48" t="s">
        <v>56</v>
      </c>
      <c r="D61" s="50" t="s">
        <v>56</v>
      </c>
      <c r="E61" s="47"/>
      <c r="F61" s="33"/>
      <c r="G61" s="33">
        <v>1117</v>
      </c>
      <c r="H61" s="33"/>
      <c r="I61" s="33">
        <v>3473</v>
      </c>
      <c r="J61" s="33"/>
      <c r="K61" s="33">
        <v>0</v>
      </c>
      <c r="L61" s="33"/>
      <c r="M61" s="33">
        <v>4590</v>
      </c>
      <c r="N61" s="32" t="s">
        <v>56</v>
      </c>
    </row>
    <row r="62" spans="1:16" ht="15" customHeight="1">
      <c r="A62" s="43"/>
      <c r="B62" s="44" t="s">
        <v>71</v>
      </c>
      <c r="C62" s="75" t="s">
        <v>173</v>
      </c>
      <c r="D62" s="38" t="s">
        <v>56</v>
      </c>
      <c r="E62" s="54"/>
      <c r="F62" s="16"/>
      <c r="G62" s="16">
        <f>G61*2</f>
        <v>2234</v>
      </c>
      <c r="H62" s="16"/>
      <c r="I62" s="16">
        <f>I61*2</f>
        <v>6946</v>
      </c>
      <c r="J62" s="16"/>
      <c r="K62" s="16">
        <f>K61*2</f>
        <v>0</v>
      </c>
      <c r="L62" s="35"/>
      <c r="M62" s="16">
        <f>SUM(G62,I62,K62)</f>
        <v>9180</v>
      </c>
      <c r="N62" s="2" t="s">
        <v>56</v>
      </c>
      <c r="O62" t="str">
        <f>A58</f>
        <v>일위08호</v>
      </c>
      <c r="P62" s="34"/>
    </row>
    <row r="63" spans="1:16" s="34" customFormat="1" ht="15" customHeight="1">
      <c r="A63" s="42" t="s">
        <v>169</v>
      </c>
      <c r="B63" s="49" t="s">
        <v>170</v>
      </c>
      <c r="C63" s="48"/>
      <c r="D63" s="50"/>
      <c r="E63" s="47"/>
      <c r="F63" s="33"/>
      <c r="G63" s="33"/>
      <c r="H63" s="33"/>
      <c r="I63" s="33"/>
      <c r="J63" s="33"/>
      <c r="K63" s="33"/>
      <c r="L63" s="33"/>
      <c r="M63" s="33"/>
      <c r="N63" s="32"/>
    </row>
    <row r="64" spans="1:16" s="34" customFormat="1" ht="15" customHeight="1">
      <c r="A64" s="42"/>
      <c r="B64" s="49" t="s">
        <v>165</v>
      </c>
      <c r="C64" s="48" t="s">
        <v>168</v>
      </c>
      <c r="D64" s="50" t="s">
        <v>82</v>
      </c>
      <c r="E64" s="47">
        <v>0.06</v>
      </c>
      <c r="F64" s="33">
        <v>6300</v>
      </c>
      <c r="G64" s="33">
        <v>378</v>
      </c>
      <c r="H64" s="33">
        <v>0</v>
      </c>
      <c r="I64" s="33">
        <v>0</v>
      </c>
      <c r="J64" s="33">
        <v>0</v>
      </c>
      <c r="K64" s="33">
        <v>0</v>
      </c>
      <c r="L64" s="33">
        <v>6300</v>
      </c>
      <c r="M64" s="33">
        <v>378</v>
      </c>
      <c r="N64" s="32" t="s">
        <v>56</v>
      </c>
    </row>
    <row r="65" spans="1:16" s="34" customFormat="1" ht="15" customHeight="1">
      <c r="A65" s="42"/>
      <c r="B65" s="49" t="s">
        <v>172</v>
      </c>
      <c r="C65" s="48" t="s">
        <v>56</v>
      </c>
      <c r="D65" s="50" t="s">
        <v>56</v>
      </c>
      <c r="E65" s="47"/>
      <c r="F65" s="33"/>
      <c r="G65" s="33">
        <v>378</v>
      </c>
      <c r="H65" s="33"/>
      <c r="I65" s="33">
        <v>0</v>
      </c>
      <c r="J65" s="33"/>
      <c r="K65" s="33">
        <v>0</v>
      </c>
      <c r="L65" s="33"/>
      <c r="M65" s="33">
        <v>378</v>
      </c>
      <c r="N65" s="32" t="s">
        <v>56</v>
      </c>
    </row>
    <row r="66" spans="1:16" ht="15" customHeight="1">
      <c r="A66" s="43"/>
      <c r="B66" s="74" t="s">
        <v>175</v>
      </c>
      <c r="C66" s="75" t="s">
        <v>176</v>
      </c>
      <c r="D66" s="38" t="s">
        <v>56</v>
      </c>
      <c r="E66" s="54"/>
      <c r="F66" s="16"/>
      <c r="G66" s="16">
        <f>G65*2</f>
        <v>756</v>
      </c>
      <c r="H66" s="16"/>
      <c r="I66" s="16">
        <f>I65*2</f>
        <v>0</v>
      </c>
      <c r="J66" s="16"/>
      <c r="K66" s="16">
        <f>K65*2</f>
        <v>0</v>
      </c>
      <c r="L66" s="35"/>
      <c r="M66" s="16">
        <f>SUM(G66,I66,K66)</f>
        <v>756</v>
      </c>
      <c r="N66" s="2" t="s">
        <v>56</v>
      </c>
      <c r="O66" t="str">
        <f>A63</f>
        <v>일위09호</v>
      </c>
      <c r="P66" s="34"/>
    </row>
    <row r="67" spans="1:16" s="34" customFormat="1" ht="15" customHeight="1">
      <c r="A67" s="42" t="s">
        <v>187</v>
      </c>
      <c r="B67" s="49" t="s">
        <v>177</v>
      </c>
      <c r="C67" s="48"/>
      <c r="D67" s="50"/>
      <c r="E67" s="47"/>
      <c r="F67" s="33"/>
      <c r="G67" s="33"/>
      <c r="H67" s="33"/>
      <c r="I67" s="33"/>
      <c r="J67" s="33"/>
      <c r="K67" s="33"/>
      <c r="L67" s="33"/>
      <c r="M67" s="33"/>
      <c r="N67" s="32"/>
    </row>
    <row r="68" spans="1:16" s="34" customFormat="1" ht="15" customHeight="1">
      <c r="A68" s="42"/>
      <c r="B68" s="49" t="s">
        <v>178</v>
      </c>
      <c r="C68" s="48" t="s">
        <v>179</v>
      </c>
      <c r="D68" s="50" t="s">
        <v>92</v>
      </c>
      <c r="E68" s="47">
        <v>18.48</v>
      </c>
      <c r="F68" s="33">
        <v>2380</v>
      </c>
      <c r="G68" s="33">
        <v>43982.400000000001</v>
      </c>
      <c r="H68" s="33">
        <v>0</v>
      </c>
      <c r="I68" s="33">
        <v>0</v>
      </c>
      <c r="J68" s="33">
        <v>0</v>
      </c>
      <c r="K68" s="33">
        <v>0</v>
      </c>
      <c r="L68" s="33">
        <v>2380</v>
      </c>
      <c r="M68" s="33">
        <v>43982.400000000001</v>
      </c>
      <c r="N68" s="32" t="s">
        <v>56</v>
      </c>
    </row>
    <row r="69" spans="1:16" s="34" customFormat="1" ht="15" customHeight="1">
      <c r="A69" s="42"/>
      <c r="B69" s="49" t="s">
        <v>68</v>
      </c>
      <c r="C69" s="48" t="s">
        <v>180</v>
      </c>
      <c r="D69" s="50" t="s">
        <v>82</v>
      </c>
      <c r="E69" s="47">
        <v>6300</v>
      </c>
      <c r="F69" s="33">
        <v>1.83</v>
      </c>
      <c r="G69" s="33">
        <v>11529</v>
      </c>
      <c r="H69" s="33">
        <v>0</v>
      </c>
      <c r="I69" s="33">
        <v>0</v>
      </c>
      <c r="J69" s="33">
        <v>0</v>
      </c>
      <c r="K69" s="33">
        <v>0</v>
      </c>
      <c r="L69" s="33">
        <v>1.8</v>
      </c>
      <c r="M69" s="33">
        <v>11529</v>
      </c>
      <c r="N69" s="32" t="s">
        <v>56</v>
      </c>
    </row>
    <row r="70" spans="1:16" s="34" customFormat="1" ht="15" customHeight="1">
      <c r="A70" s="42"/>
      <c r="B70" s="49" t="s">
        <v>181</v>
      </c>
      <c r="C70" s="48" t="s">
        <v>182</v>
      </c>
      <c r="D70" s="50" t="s">
        <v>92</v>
      </c>
      <c r="E70" s="47">
        <v>2.8</v>
      </c>
      <c r="F70" s="33">
        <v>9500</v>
      </c>
      <c r="G70" s="33">
        <v>26600</v>
      </c>
      <c r="H70" s="33">
        <v>0</v>
      </c>
      <c r="I70" s="33">
        <v>0</v>
      </c>
      <c r="J70" s="33">
        <v>0</v>
      </c>
      <c r="K70" s="33">
        <v>0</v>
      </c>
      <c r="L70" s="33">
        <v>9500</v>
      </c>
      <c r="M70" s="33">
        <v>26600</v>
      </c>
      <c r="N70" s="32" t="s">
        <v>56</v>
      </c>
    </row>
    <row r="71" spans="1:16" s="34" customFormat="1" ht="15" customHeight="1">
      <c r="A71" s="42"/>
      <c r="B71" s="49" t="s">
        <v>183</v>
      </c>
      <c r="C71" s="48" t="s">
        <v>184</v>
      </c>
      <c r="D71" s="50" t="s">
        <v>78</v>
      </c>
      <c r="E71" s="47">
        <v>20.83</v>
      </c>
      <c r="F71" s="33">
        <v>0</v>
      </c>
      <c r="G71" s="33">
        <v>0</v>
      </c>
      <c r="H71" s="33">
        <v>0</v>
      </c>
      <c r="I71" s="33">
        <v>0</v>
      </c>
      <c r="J71" s="33">
        <v>124</v>
      </c>
      <c r="K71" s="33">
        <v>2582.9</v>
      </c>
      <c r="L71" s="33">
        <v>124</v>
      </c>
      <c r="M71" s="33">
        <v>2582.9</v>
      </c>
      <c r="N71" s="32" t="s">
        <v>56</v>
      </c>
    </row>
    <row r="72" spans="1:16" s="34" customFormat="1" ht="15" customHeight="1">
      <c r="A72" s="42"/>
      <c r="B72" s="49" t="s">
        <v>185</v>
      </c>
      <c r="C72" s="48" t="s">
        <v>84</v>
      </c>
      <c r="D72" s="50" t="s">
        <v>186</v>
      </c>
      <c r="E72" s="47">
        <v>126</v>
      </c>
      <c r="F72" s="33">
        <v>0</v>
      </c>
      <c r="G72" s="33">
        <v>0</v>
      </c>
      <c r="H72" s="33">
        <v>0</v>
      </c>
      <c r="I72" s="33">
        <v>0</v>
      </c>
      <c r="J72" s="33">
        <v>87</v>
      </c>
      <c r="K72" s="33">
        <v>10962</v>
      </c>
      <c r="L72" s="33">
        <v>87</v>
      </c>
      <c r="M72" s="33">
        <v>10962</v>
      </c>
      <c r="N72" s="32" t="s">
        <v>56</v>
      </c>
    </row>
    <row r="73" spans="1:16" s="34" customFormat="1" ht="15" customHeight="1">
      <c r="A73" s="42"/>
      <c r="B73" s="49" t="s">
        <v>55</v>
      </c>
      <c r="C73" s="48" t="s">
        <v>81</v>
      </c>
      <c r="D73" s="50" t="s">
        <v>86</v>
      </c>
      <c r="E73" s="47">
        <v>27.65</v>
      </c>
      <c r="F73" s="33">
        <v>0</v>
      </c>
      <c r="G73" s="33">
        <v>0</v>
      </c>
      <c r="H73" s="33">
        <v>138946</v>
      </c>
      <c r="I73" s="33">
        <v>3841856.9</v>
      </c>
      <c r="J73" s="33">
        <v>0</v>
      </c>
      <c r="K73" s="33">
        <v>0</v>
      </c>
      <c r="L73" s="33">
        <v>138946</v>
      </c>
      <c r="M73" s="33">
        <v>3841856.9</v>
      </c>
      <c r="N73" s="32" t="s">
        <v>56</v>
      </c>
    </row>
    <row r="74" spans="1:16" s="34" customFormat="1" ht="15" customHeight="1">
      <c r="A74" s="42"/>
      <c r="B74" s="49" t="s">
        <v>55</v>
      </c>
      <c r="C74" s="48" t="s">
        <v>60</v>
      </c>
      <c r="D74" s="50" t="s">
        <v>86</v>
      </c>
      <c r="E74" s="47">
        <v>0.66</v>
      </c>
      <c r="F74" s="33">
        <v>0</v>
      </c>
      <c r="G74" s="33">
        <v>0</v>
      </c>
      <c r="H74" s="33">
        <v>87805</v>
      </c>
      <c r="I74" s="33">
        <v>57951.3</v>
      </c>
      <c r="J74" s="33">
        <v>0</v>
      </c>
      <c r="K74" s="33">
        <v>0</v>
      </c>
      <c r="L74" s="33">
        <v>87805</v>
      </c>
      <c r="M74" s="33">
        <v>57951.3</v>
      </c>
      <c r="N74" s="32" t="s">
        <v>56</v>
      </c>
    </row>
    <row r="75" spans="1:16" s="34" customFormat="1" ht="15" customHeight="1">
      <c r="A75" s="42"/>
      <c r="B75" s="49" t="s">
        <v>55</v>
      </c>
      <c r="C75" s="48" t="s">
        <v>79</v>
      </c>
      <c r="D75" s="50" t="s">
        <v>86</v>
      </c>
      <c r="E75" s="47">
        <v>2.6</v>
      </c>
      <c r="F75" s="33">
        <v>0</v>
      </c>
      <c r="G75" s="33">
        <v>0</v>
      </c>
      <c r="H75" s="33">
        <v>134516</v>
      </c>
      <c r="I75" s="33">
        <v>349741.6</v>
      </c>
      <c r="J75" s="33">
        <v>0</v>
      </c>
      <c r="K75" s="33">
        <v>0</v>
      </c>
      <c r="L75" s="33">
        <v>134516</v>
      </c>
      <c r="M75" s="33">
        <v>349741.6</v>
      </c>
      <c r="N75" s="32" t="s">
        <v>56</v>
      </c>
    </row>
    <row r="76" spans="1:16" s="34" customFormat="1" ht="15" customHeight="1">
      <c r="A76" s="42"/>
      <c r="B76" s="49" t="s">
        <v>55</v>
      </c>
      <c r="C76" s="48" t="s">
        <v>61</v>
      </c>
      <c r="D76" s="50" t="s">
        <v>86</v>
      </c>
      <c r="E76" s="47">
        <v>0.74</v>
      </c>
      <c r="F76" s="33">
        <v>0</v>
      </c>
      <c r="G76" s="33">
        <v>0</v>
      </c>
      <c r="H76" s="33">
        <v>108245</v>
      </c>
      <c r="I76" s="33">
        <v>80101.3</v>
      </c>
      <c r="J76" s="33">
        <v>0</v>
      </c>
      <c r="K76" s="33">
        <v>0</v>
      </c>
      <c r="L76" s="33">
        <v>108245</v>
      </c>
      <c r="M76" s="33">
        <v>80101.3</v>
      </c>
      <c r="N76" s="32" t="s">
        <v>56</v>
      </c>
    </row>
    <row r="77" spans="1:16" s="34" customFormat="1" ht="15" customHeight="1">
      <c r="A77" s="42"/>
      <c r="B77" s="49" t="s">
        <v>64</v>
      </c>
      <c r="C77" s="48" t="s">
        <v>99</v>
      </c>
      <c r="D77" s="50" t="s">
        <v>58</v>
      </c>
      <c r="E77" s="47">
        <v>1</v>
      </c>
      <c r="F77" s="33">
        <v>129889.53</v>
      </c>
      <c r="G77" s="33">
        <v>129889.5</v>
      </c>
      <c r="H77" s="33">
        <v>0</v>
      </c>
      <c r="I77" s="33">
        <v>0</v>
      </c>
      <c r="J77" s="33">
        <v>0</v>
      </c>
      <c r="K77" s="33">
        <v>0</v>
      </c>
      <c r="L77" s="33">
        <v>129889.5</v>
      </c>
      <c r="M77" s="33">
        <v>129889.5</v>
      </c>
      <c r="N77" s="32" t="s">
        <v>56</v>
      </c>
    </row>
    <row r="78" spans="1:16" ht="15" customHeight="1">
      <c r="A78" s="43"/>
      <c r="B78" s="74" t="s">
        <v>174</v>
      </c>
      <c r="C78" s="75" t="s">
        <v>56</v>
      </c>
      <c r="D78" s="38" t="s">
        <v>56</v>
      </c>
      <c r="E78" s="54"/>
      <c r="F78" s="16"/>
      <c r="G78" s="16">
        <v>212000</v>
      </c>
      <c r="H78" s="16"/>
      <c r="I78" s="16">
        <v>4329651</v>
      </c>
      <c r="J78" s="16"/>
      <c r="K78" s="16">
        <v>13544</v>
      </c>
      <c r="L78" s="35"/>
      <c r="M78" s="16">
        <v>4555195</v>
      </c>
      <c r="N78" s="2" t="s">
        <v>56</v>
      </c>
      <c r="O78" t="str">
        <f>A67</f>
        <v>일위10호</v>
      </c>
      <c r="P78" s="34"/>
    </row>
    <row r="79" spans="1:16" s="34" customFormat="1" ht="15" customHeight="1">
      <c r="A79" s="42" t="s">
        <v>201</v>
      </c>
      <c r="B79" s="49" t="s">
        <v>202</v>
      </c>
      <c r="C79" s="48" t="s">
        <v>188</v>
      </c>
      <c r="D79" s="50" t="s">
        <v>93</v>
      </c>
      <c r="E79" s="47"/>
      <c r="F79" s="33"/>
      <c r="G79" s="33"/>
      <c r="H79" s="33"/>
      <c r="I79" s="33"/>
      <c r="J79" s="33"/>
      <c r="K79" s="33"/>
      <c r="L79" s="33"/>
      <c r="M79" s="33"/>
      <c r="N79" s="32"/>
    </row>
    <row r="80" spans="1:16" s="34" customFormat="1" ht="15" customHeight="1">
      <c r="A80" s="42"/>
      <c r="B80" s="49" t="s">
        <v>189</v>
      </c>
      <c r="C80" s="48" t="s">
        <v>190</v>
      </c>
      <c r="D80" s="50" t="s">
        <v>80</v>
      </c>
      <c r="E80" s="47">
        <v>0.15</v>
      </c>
      <c r="F80" s="33">
        <v>8000</v>
      </c>
      <c r="G80" s="33">
        <v>1200</v>
      </c>
      <c r="H80" s="33"/>
      <c r="I80" s="33"/>
      <c r="J80" s="33"/>
      <c r="K80" s="33"/>
      <c r="L80" s="33">
        <v>8000</v>
      </c>
      <c r="M80" s="33">
        <v>1200</v>
      </c>
      <c r="N80" s="32"/>
    </row>
    <row r="81" spans="1:16" s="34" customFormat="1" ht="15" customHeight="1">
      <c r="A81" s="42"/>
      <c r="B81" s="49" t="s">
        <v>191</v>
      </c>
      <c r="C81" s="48" t="s">
        <v>192</v>
      </c>
      <c r="D81" s="50" t="s">
        <v>80</v>
      </c>
      <c r="E81" s="47">
        <v>0.2</v>
      </c>
      <c r="F81" s="33">
        <v>33000</v>
      </c>
      <c r="G81" s="33">
        <v>6600</v>
      </c>
      <c r="H81" s="33"/>
      <c r="I81" s="33"/>
      <c r="J81" s="33"/>
      <c r="K81" s="33"/>
      <c r="L81" s="33">
        <v>33000</v>
      </c>
      <c r="M81" s="33">
        <v>6600</v>
      </c>
      <c r="N81" s="32"/>
    </row>
    <row r="82" spans="1:16" s="34" customFormat="1" ht="15" customHeight="1">
      <c r="A82" s="42"/>
      <c r="B82" s="49" t="s">
        <v>193</v>
      </c>
      <c r="C82" s="48" t="s">
        <v>194</v>
      </c>
      <c r="D82" s="50" t="s">
        <v>80</v>
      </c>
      <c r="E82" s="47">
        <v>0.5</v>
      </c>
      <c r="F82" s="33">
        <v>18000</v>
      </c>
      <c r="G82" s="33">
        <v>9000</v>
      </c>
      <c r="H82" s="33"/>
      <c r="I82" s="33"/>
      <c r="J82" s="33"/>
      <c r="K82" s="33"/>
      <c r="L82" s="33">
        <v>18000</v>
      </c>
      <c r="M82" s="33">
        <v>9000</v>
      </c>
      <c r="N82" s="32"/>
    </row>
    <row r="83" spans="1:16" s="34" customFormat="1" ht="15" customHeight="1">
      <c r="A83" s="42"/>
      <c r="B83" s="49" t="s">
        <v>195</v>
      </c>
      <c r="C83" s="48" t="s">
        <v>196</v>
      </c>
      <c r="D83" s="50" t="s">
        <v>80</v>
      </c>
      <c r="E83" s="47">
        <v>0.25</v>
      </c>
      <c r="F83" s="33">
        <v>21000</v>
      </c>
      <c r="G83" s="33">
        <v>5250</v>
      </c>
      <c r="H83" s="33"/>
      <c r="I83" s="33"/>
      <c r="J83" s="33"/>
      <c r="K83" s="33"/>
      <c r="L83" s="33">
        <v>21000</v>
      </c>
      <c r="M83" s="33">
        <v>5250</v>
      </c>
      <c r="N83" s="32"/>
    </row>
    <row r="84" spans="1:16" s="34" customFormat="1" ht="15" customHeight="1">
      <c r="A84" s="42"/>
      <c r="B84" s="49" t="s">
        <v>197</v>
      </c>
      <c r="C84" s="48" t="s">
        <v>198</v>
      </c>
      <c r="D84" s="50" t="s">
        <v>87</v>
      </c>
      <c r="E84" s="47">
        <v>5</v>
      </c>
      <c r="F84" s="33">
        <v>600</v>
      </c>
      <c r="G84" s="33">
        <v>3000</v>
      </c>
      <c r="H84" s="33"/>
      <c r="I84" s="33"/>
      <c r="J84" s="33"/>
      <c r="K84" s="33"/>
      <c r="L84" s="33">
        <v>600</v>
      </c>
      <c r="M84" s="33">
        <v>3000</v>
      </c>
      <c r="N84" s="32"/>
    </row>
    <row r="85" spans="1:16" s="34" customFormat="1" ht="15" customHeight="1">
      <c r="A85" s="42"/>
      <c r="B85" s="49" t="s">
        <v>67</v>
      </c>
      <c r="C85" s="48" t="s">
        <v>199</v>
      </c>
      <c r="D85" s="50" t="s">
        <v>58</v>
      </c>
      <c r="E85" s="47">
        <v>1</v>
      </c>
      <c r="F85" s="33">
        <v>752</v>
      </c>
      <c r="G85" s="33">
        <v>752</v>
      </c>
      <c r="H85" s="33"/>
      <c r="I85" s="33"/>
      <c r="J85" s="33"/>
      <c r="K85" s="33"/>
      <c r="L85" s="33">
        <v>752</v>
      </c>
      <c r="M85" s="33">
        <v>752</v>
      </c>
      <c r="N85" s="32"/>
    </row>
    <row r="86" spans="1:16" s="34" customFormat="1" ht="15" customHeight="1">
      <c r="A86" s="42"/>
      <c r="B86" s="49" t="s">
        <v>64</v>
      </c>
      <c r="C86" s="48" t="s">
        <v>200</v>
      </c>
      <c r="D86" s="50" t="s">
        <v>58</v>
      </c>
      <c r="E86" s="47">
        <v>1</v>
      </c>
      <c r="F86" s="33">
        <v>122</v>
      </c>
      <c r="G86" s="33">
        <v>122</v>
      </c>
      <c r="H86" s="33"/>
      <c r="I86" s="33"/>
      <c r="J86" s="33"/>
      <c r="K86" s="33"/>
      <c r="L86" s="33">
        <v>122</v>
      </c>
      <c r="M86" s="33">
        <v>122</v>
      </c>
      <c r="N86" s="32"/>
    </row>
    <row r="87" spans="1:16" s="34" customFormat="1" ht="15" customHeight="1">
      <c r="A87" s="42"/>
      <c r="B87" s="49" t="s">
        <v>77</v>
      </c>
      <c r="C87" s="48"/>
      <c r="D87" s="50" t="s">
        <v>86</v>
      </c>
      <c r="E87" s="47">
        <v>0.03</v>
      </c>
      <c r="F87" s="33"/>
      <c r="G87" s="33"/>
      <c r="H87" s="33">
        <v>101093</v>
      </c>
      <c r="I87" s="33">
        <v>3032.79</v>
      </c>
      <c r="J87" s="33"/>
      <c r="K87" s="33"/>
      <c r="L87" s="33">
        <v>101093</v>
      </c>
      <c r="M87" s="33">
        <v>3032.79</v>
      </c>
      <c r="N87" s="32"/>
    </row>
    <row r="88" spans="1:16" s="34" customFormat="1" ht="15" customHeight="1">
      <c r="A88" s="42"/>
      <c r="B88" s="49" t="s">
        <v>61</v>
      </c>
      <c r="C88" s="48"/>
      <c r="D88" s="50" t="s">
        <v>86</v>
      </c>
      <c r="E88" s="47">
        <v>0.02</v>
      </c>
      <c r="F88" s="33"/>
      <c r="G88" s="33"/>
      <c r="H88" s="33">
        <v>108245</v>
      </c>
      <c r="I88" s="33">
        <v>2164.9</v>
      </c>
      <c r="J88" s="33"/>
      <c r="K88" s="33"/>
      <c r="L88" s="33">
        <v>108245</v>
      </c>
      <c r="M88" s="33">
        <v>2164.9</v>
      </c>
      <c r="N88" s="32"/>
    </row>
    <row r="89" spans="1:16" s="34" customFormat="1" ht="15" customHeight="1">
      <c r="A89" s="42"/>
      <c r="B89" s="49" t="s">
        <v>60</v>
      </c>
      <c r="C89" s="48"/>
      <c r="D89" s="50" t="s">
        <v>86</v>
      </c>
      <c r="E89" s="47">
        <v>0.01</v>
      </c>
      <c r="F89" s="33"/>
      <c r="G89" s="33"/>
      <c r="H89" s="33">
        <v>87805</v>
      </c>
      <c r="I89" s="33">
        <v>878.05000000000007</v>
      </c>
      <c r="J89" s="33"/>
      <c r="K89" s="33"/>
      <c r="L89" s="33">
        <v>87805</v>
      </c>
      <c r="M89" s="33">
        <v>878.05000000000007</v>
      </c>
      <c r="N89" s="32"/>
    </row>
    <row r="90" spans="1:16" ht="15" customHeight="1">
      <c r="A90" s="43"/>
      <c r="B90" s="74" t="s">
        <v>174</v>
      </c>
      <c r="C90" s="75"/>
      <c r="D90" s="38"/>
      <c r="E90" s="54"/>
      <c r="F90" s="16"/>
      <c r="G90" s="16">
        <v>25924</v>
      </c>
      <c r="H90" s="16"/>
      <c r="I90" s="16">
        <v>6075.7400000000007</v>
      </c>
      <c r="J90" s="16"/>
      <c r="K90" s="16">
        <v>0</v>
      </c>
      <c r="L90" s="35"/>
      <c r="M90" s="16">
        <v>31999.74</v>
      </c>
      <c r="N90" s="2"/>
      <c r="O90" t="str">
        <f>A79</f>
        <v>일위11호</v>
      </c>
      <c r="P90" s="34"/>
    </row>
    <row r="91" spans="1:16" s="34" customFormat="1" ht="15" customHeight="1">
      <c r="A91" s="42" t="s">
        <v>214</v>
      </c>
      <c r="B91" s="49" t="s">
        <v>215</v>
      </c>
      <c r="C91" s="48"/>
      <c r="D91" s="50"/>
      <c r="E91" s="47"/>
      <c r="F91" s="33"/>
      <c r="G91" s="33"/>
      <c r="H91" s="33"/>
      <c r="I91" s="33"/>
      <c r="J91" s="33"/>
      <c r="K91" s="33"/>
      <c r="L91" s="33"/>
      <c r="M91" s="33"/>
      <c r="N91" s="32"/>
    </row>
    <row r="92" spans="1:16" s="34" customFormat="1" ht="15" customHeight="1">
      <c r="A92" s="42"/>
      <c r="B92" s="49" t="s">
        <v>208</v>
      </c>
      <c r="C92" s="48" t="s">
        <v>208</v>
      </c>
      <c r="D92" s="50" t="s">
        <v>50</v>
      </c>
      <c r="E92" s="47">
        <v>1.2</v>
      </c>
      <c r="F92" s="33">
        <v>94</v>
      </c>
      <c r="G92" s="33">
        <v>112.8</v>
      </c>
      <c r="H92" s="33">
        <v>0</v>
      </c>
      <c r="I92" s="33">
        <v>0</v>
      </c>
      <c r="J92" s="33">
        <v>0</v>
      </c>
      <c r="K92" s="33">
        <v>0</v>
      </c>
      <c r="L92" s="33">
        <v>94</v>
      </c>
      <c r="M92" s="33">
        <v>112.8</v>
      </c>
      <c r="N92" s="32" t="s">
        <v>56</v>
      </c>
    </row>
    <row r="93" spans="1:16" s="34" customFormat="1" ht="15" customHeight="1">
      <c r="A93" s="42"/>
      <c r="B93" s="49" t="s">
        <v>209</v>
      </c>
      <c r="C93" s="48" t="s">
        <v>210</v>
      </c>
      <c r="D93" s="50" t="s">
        <v>50</v>
      </c>
      <c r="E93" s="47">
        <v>1.2</v>
      </c>
      <c r="F93" s="33">
        <v>2121</v>
      </c>
      <c r="G93" s="33">
        <v>2545.1999999999998</v>
      </c>
      <c r="H93" s="33">
        <v>0</v>
      </c>
      <c r="I93" s="33">
        <v>0</v>
      </c>
      <c r="J93" s="33">
        <v>0</v>
      </c>
      <c r="K93" s="33">
        <v>0</v>
      </c>
      <c r="L93" s="33">
        <v>2121</v>
      </c>
      <c r="M93" s="33">
        <v>2545.1999999999998</v>
      </c>
      <c r="N93" s="32" t="s">
        <v>56</v>
      </c>
    </row>
    <row r="94" spans="1:16" s="34" customFormat="1" ht="15" customHeight="1">
      <c r="A94" s="42"/>
      <c r="B94" s="49" t="s">
        <v>211</v>
      </c>
      <c r="C94" s="48" t="s">
        <v>212</v>
      </c>
      <c r="D94" s="50" t="s">
        <v>92</v>
      </c>
      <c r="E94" s="47">
        <v>0.3</v>
      </c>
      <c r="F94" s="33">
        <v>847</v>
      </c>
      <c r="G94" s="33">
        <v>254.1</v>
      </c>
      <c r="H94" s="33">
        <v>0</v>
      </c>
      <c r="I94" s="33">
        <v>0</v>
      </c>
      <c r="J94" s="33">
        <v>0</v>
      </c>
      <c r="K94" s="33">
        <v>0</v>
      </c>
      <c r="L94" s="33">
        <v>847</v>
      </c>
      <c r="M94" s="33">
        <v>254.1</v>
      </c>
      <c r="N94" s="32" t="s">
        <v>56</v>
      </c>
    </row>
    <row r="95" spans="1:16" s="34" customFormat="1" ht="15" customHeight="1">
      <c r="A95" s="42"/>
      <c r="B95" s="49" t="s">
        <v>55</v>
      </c>
      <c r="C95" s="48" t="s">
        <v>213</v>
      </c>
      <c r="D95" s="50" t="s">
        <v>86</v>
      </c>
      <c r="E95" s="47">
        <v>2.4E-2</v>
      </c>
      <c r="F95" s="33">
        <v>0</v>
      </c>
      <c r="G95" s="33">
        <v>0</v>
      </c>
      <c r="H95" s="33">
        <v>116098</v>
      </c>
      <c r="I95" s="33">
        <v>2786.3</v>
      </c>
      <c r="J95" s="33">
        <v>0</v>
      </c>
      <c r="K95" s="33">
        <v>0</v>
      </c>
      <c r="L95" s="33">
        <v>116098</v>
      </c>
      <c r="M95" s="33">
        <v>2786.3</v>
      </c>
      <c r="N95" s="32" t="s">
        <v>56</v>
      </c>
    </row>
    <row r="96" spans="1:16" s="34" customFormat="1" ht="15" customHeight="1">
      <c r="A96" s="42"/>
      <c r="B96" s="49" t="s">
        <v>55</v>
      </c>
      <c r="C96" s="48" t="s">
        <v>60</v>
      </c>
      <c r="D96" s="50" t="s">
        <v>86</v>
      </c>
      <c r="E96" s="47">
        <v>6.0000000000000001E-3</v>
      </c>
      <c r="F96" s="33">
        <v>0</v>
      </c>
      <c r="G96" s="33">
        <v>0</v>
      </c>
      <c r="H96" s="33">
        <v>87805</v>
      </c>
      <c r="I96" s="33">
        <v>526.79999999999995</v>
      </c>
      <c r="J96" s="33">
        <v>0</v>
      </c>
      <c r="K96" s="33">
        <v>0</v>
      </c>
      <c r="L96" s="33">
        <v>87805</v>
      </c>
      <c r="M96" s="33">
        <v>526.79999999999995</v>
      </c>
      <c r="N96" s="32" t="s">
        <v>56</v>
      </c>
    </row>
    <row r="97" spans="1:16" ht="15" customHeight="1">
      <c r="A97" s="43"/>
      <c r="B97" s="74" t="s">
        <v>205</v>
      </c>
      <c r="C97" s="75" t="s">
        <v>56</v>
      </c>
      <c r="D97" s="38" t="s">
        <v>56</v>
      </c>
      <c r="E97" s="54"/>
      <c r="F97" s="16"/>
      <c r="G97" s="16">
        <v>2912</v>
      </c>
      <c r="H97" s="16"/>
      <c r="I97" s="16">
        <v>3313</v>
      </c>
      <c r="J97" s="16"/>
      <c r="K97" s="16">
        <v>0</v>
      </c>
      <c r="L97" s="35"/>
      <c r="M97" s="16">
        <v>6225</v>
      </c>
      <c r="N97" s="2" t="s">
        <v>56</v>
      </c>
      <c r="O97" t="str">
        <f>A91</f>
        <v>일위13호</v>
      </c>
      <c r="P97" s="34"/>
    </row>
    <row r="98" spans="1:16" s="34" customFormat="1" ht="15" customHeight="1">
      <c r="A98" s="42" t="s">
        <v>218</v>
      </c>
      <c r="B98" s="49" t="s">
        <v>219</v>
      </c>
      <c r="C98" s="48"/>
      <c r="D98" s="50"/>
      <c r="E98" s="47"/>
      <c r="F98" s="33"/>
      <c r="G98" s="33"/>
      <c r="H98" s="33"/>
      <c r="I98" s="33"/>
      <c r="J98" s="33"/>
      <c r="K98" s="33"/>
      <c r="L98" s="33"/>
      <c r="M98" s="33"/>
      <c r="N98" s="32"/>
    </row>
    <row r="99" spans="1:16" s="34" customFormat="1" ht="15" customHeight="1">
      <c r="A99" s="42"/>
      <c r="B99" s="49" t="s">
        <v>208</v>
      </c>
      <c r="C99" s="48" t="s">
        <v>208</v>
      </c>
      <c r="D99" s="50" t="s">
        <v>50</v>
      </c>
      <c r="E99" s="47">
        <v>0.8</v>
      </c>
      <c r="F99" s="33">
        <v>94</v>
      </c>
      <c r="G99" s="33">
        <v>75.2</v>
      </c>
      <c r="H99" s="33">
        <v>0</v>
      </c>
      <c r="I99" s="33">
        <v>0</v>
      </c>
      <c r="J99" s="33">
        <v>0</v>
      </c>
      <c r="K99" s="33">
        <v>0</v>
      </c>
      <c r="L99" s="33">
        <v>94</v>
      </c>
      <c r="M99" s="33">
        <v>75.2</v>
      </c>
      <c r="N99" s="32" t="s">
        <v>56</v>
      </c>
    </row>
    <row r="100" spans="1:16" s="34" customFormat="1" ht="15" customHeight="1">
      <c r="A100" s="42"/>
      <c r="B100" s="49" t="s">
        <v>208</v>
      </c>
      <c r="C100" s="48" t="s">
        <v>217</v>
      </c>
      <c r="D100" s="50" t="s">
        <v>50</v>
      </c>
      <c r="E100" s="47">
        <v>1.2</v>
      </c>
      <c r="F100" s="33">
        <v>94</v>
      </c>
      <c r="G100" s="33">
        <v>112.8</v>
      </c>
      <c r="H100" s="33">
        <v>0</v>
      </c>
      <c r="I100" s="33">
        <v>0</v>
      </c>
      <c r="J100" s="33">
        <v>0</v>
      </c>
      <c r="K100" s="33">
        <v>0</v>
      </c>
      <c r="L100" s="33">
        <v>94</v>
      </c>
      <c r="M100" s="33">
        <v>112.8</v>
      </c>
      <c r="N100" s="32" t="s">
        <v>56</v>
      </c>
    </row>
    <row r="101" spans="1:16" s="34" customFormat="1" ht="15" customHeight="1">
      <c r="A101" s="42"/>
      <c r="B101" s="49" t="s">
        <v>209</v>
      </c>
      <c r="C101" s="48" t="s">
        <v>210</v>
      </c>
      <c r="D101" s="50" t="s">
        <v>50</v>
      </c>
      <c r="E101" s="47">
        <v>1.2</v>
      </c>
      <c r="F101" s="33">
        <v>2121</v>
      </c>
      <c r="G101" s="33">
        <v>2545.1999999999998</v>
      </c>
      <c r="H101" s="33">
        <v>0</v>
      </c>
      <c r="I101" s="33">
        <v>0</v>
      </c>
      <c r="J101" s="33">
        <v>0</v>
      </c>
      <c r="K101" s="33">
        <v>0</v>
      </c>
      <c r="L101" s="33">
        <v>2121</v>
      </c>
      <c r="M101" s="33">
        <v>2545.1999999999998</v>
      </c>
      <c r="N101" s="32" t="s">
        <v>56</v>
      </c>
    </row>
    <row r="102" spans="1:16" s="34" customFormat="1" ht="15" customHeight="1">
      <c r="A102" s="42"/>
      <c r="B102" s="49" t="s">
        <v>211</v>
      </c>
      <c r="C102" s="48" t="s">
        <v>212</v>
      </c>
      <c r="D102" s="50" t="s">
        <v>92</v>
      </c>
      <c r="E102" s="47">
        <v>0.3</v>
      </c>
      <c r="F102" s="33">
        <v>847</v>
      </c>
      <c r="G102" s="33">
        <v>254.1</v>
      </c>
      <c r="H102" s="33">
        <v>0</v>
      </c>
      <c r="I102" s="33">
        <v>0</v>
      </c>
      <c r="J102" s="33">
        <v>0</v>
      </c>
      <c r="K102" s="33">
        <v>0</v>
      </c>
      <c r="L102" s="33">
        <v>847</v>
      </c>
      <c r="M102" s="33">
        <v>254.1</v>
      </c>
      <c r="N102" s="32" t="s">
        <v>56</v>
      </c>
    </row>
    <row r="103" spans="1:16" s="34" customFormat="1" ht="15" customHeight="1">
      <c r="A103" s="42"/>
      <c r="B103" s="49" t="s">
        <v>55</v>
      </c>
      <c r="C103" s="48" t="s">
        <v>213</v>
      </c>
      <c r="D103" s="50" t="s">
        <v>86</v>
      </c>
      <c r="E103" s="47">
        <v>3.5099999999999999E-2</v>
      </c>
      <c r="F103" s="33">
        <v>0</v>
      </c>
      <c r="G103" s="33">
        <v>0</v>
      </c>
      <c r="H103" s="33">
        <v>116098</v>
      </c>
      <c r="I103" s="33">
        <v>4075</v>
      </c>
      <c r="J103" s="33">
        <v>0</v>
      </c>
      <c r="K103" s="33">
        <v>0</v>
      </c>
      <c r="L103" s="33">
        <v>116098</v>
      </c>
      <c r="M103" s="33">
        <v>4075</v>
      </c>
      <c r="N103" s="32" t="s">
        <v>56</v>
      </c>
    </row>
    <row r="104" spans="1:16" s="34" customFormat="1" ht="15" customHeight="1">
      <c r="A104" s="42"/>
      <c r="B104" s="49" t="s">
        <v>55</v>
      </c>
      <c r="C104" s="48" t="s">
        <v>60</v>
      </c>
      <c r="D104" s="50" t="s">
        <v>86</v>
      </c>
      <c r="E104" s="47">
        <v>7.7999999999999996E-3</v>
      </c>
      <c r="F104" s="33">
        <v>0</v>
      </c>
      <c r="G104" s="33">
        <v>0</v>
      </c>
      <c r="H104" s="33">
        <v>87805</v>
      </c>
      <c r="I104" s="33">
        <v>684.8</v>
      </c>
      <c r="J104" s="33">
        <v>0</v>
      </c>
      <c r="K104" s="33">
        <v>0</v>
      </c>
      <c r="L104" s="33">
        <v>87805</v>
      </c>
      <c r="M104" s="33">
        <v>684.8</v>
      </c>
      <c r="N104" s="32" t="s">
        <v>56</v>
      </c>
    </row>
    <row r="105" spans="1:16" ht="15" customHeight="1">
      <c r="A105" s="43"/>
      <c r="B105" s="74" t="s">
        <v>205</v>
      </c>
      <c r="C105" s="75" t="s">
        <v>56</v>
      </c>
      <c r="D105" s="38" t="s">
        <v>56</v>
      </c>
      <c r="E105" s="54"/>
      <c r="F105" s="16"/>
      <c r="G105" s="16">
        <v>2987</v>
      </c>
      <c r="H105" s="16"/>
      <c r="I105" s="16">
        <v>4759</v>
      </c>
      <c r="J105" s="16"/>
      <c r="K105" s="16">
        <v>0</v>
      </c>
      <c r="L105" s="35"/>
      <c r="M105" s="16">
        <v>7746</v>
      </c>
      <c r="N105" s="2" t="s">
        <v>56</v>
      </c>
      <c r="O105" t="str">
        <f>A98</f>
        <v>일위14호</v>
      </c>
      <c r="P105" s="34"/>
    </row>
    <row r="106" spans="1:16" s="34" customFormat="1" ht="15" customHeight="1">
      <c r="A106" s="42" t="s">
        <v>224</v>
      </c>
      <c r="B106" s="49" t="s">
        <v>225</v>
      </c>
      <c r="C106" s="48"/>
      <c r="D106" s="50"/>
      <c r="E106" s="47"/>
      <c r="F106" s="33"/>
      <c r="G106" s="33"/>
      <c r="H106" s="33"/>
      <c r="I106" s="33"/>
      <c r="J106" s="33"/>
      <c r="K106" s="33"/>
      <c r="L106" s="33"/>
      <c r="M106" s="33"/>
      <c r="N106" s="32"/>
    </row>
    <row r="107" spans="1:16" s="34" customFormat="1" ht="15" customHeight="1">
      <c r="A107" s="42"/>
      <c r="B107" s="49" t="s">
        <v>222</v>
      </c>
      <c r="C107" s="48"/>
      <c r="D107" s="50" t="s">
        <v>80</v>
      </c>
      <c r="E107" s="47">
        <v>3.5000000000000003E-2</v>
      </c>
      <c r="F107" s="33">
        <v>3450</v>
      </c>
      <c r="G107" s="33">
        <v>120.75000000000001</v>
      </c>
      <c r="H107" s="33"/>
      <c r="I107" s="33"/>
      <c r="J107" s="33"/>
      <c r="K107" s="33"/>
      <c r="L107" s="33">
        <v>3450</v>
      </c>
      <c r="M107" s="33">
        <v>120.75000000000001</v>
      </c>
      <c r="N107" s="32"/>
    </row>
    <row r="108" spans="1:16" s="34" customFormat="1" ht="15" customHeight="1">
      <c r="A108" s="42"/>
      <c r="B108" s="49" t="s">
        <v>223</v>
      </c>
      <c r="C108" s="48"/>
      <c r="D108" s="50" t="s">
        <v>86</v>
      </c>
      <c r="E108" s="47">
        <v>0.02</v>
      </c>
      <c r="F108" s="33"/>
      <c r="G108" s="33"/>
      <c r="H108" s="33">
        <v>139327</v>
      </c>
      <c r="I108" s="33">
        <v>2786.54</v>
      </c>
      <c r="J108" s="33"/>
      <c r="K108" s="33"/>
      <c r="L108" s="33">
        <v>139327</v>
      </c>
      <c r="M108" s="33">
        <v>2786.54</v>
      </c>
      <c r="N108" s="32"/>
    </row>
    <row r="109" spans="1:16" s="34" customFormat="1" ht="15" customHeight="1">
      <c r="A109" s="42"/>
      <c r="B109" s="49" t="s">
        <v>60</v>
      </c>
      <c r="C109" s="48" t="s">
        <v>56</v>
      </c>
      <c r="D109" s="50" t="s">
        <v>86</v>
      </c>
      <c r="E109" s="47">
        <v>0.05</v>
      </c>
      <c r="F109" s="33"/>
      <c r="G109" s="33"/>
      <c r="H109" s="33">
        <v>87805</v>
      </c>
      <c r="I109" s="33">
        <v>4390.2</v>
      </c>
      <c r="J109" s="33"/>
      <c r="K109" s="33"/>
      <c r="L109" s="33">
        <v>87805</v>
      </c>
      <c r="M109" s="33">
        <v>4390.25</v>
      </c>
      <c r="N109" s="32"/>
    </row>
    <row r="110" spans="1:16" ht="15" customHeight="1">
      <c r="A110" s="43"/>
      <c r="B110" s="74" t="s">
        <v>227</v>
      </c>
      <c r="C110" s="75"/>
      <c r="D110" s="38"/>
      <c r="E110" s="54"/>
      <c r="F110" s="16"/>
      <c r="G110" s="16">
        <v>120.75000000000001</v>
      </c>
      <c r="H110" s="16"/>
      <c r="I110" s="16">
        <v>7176.74</v>
      </c>
      <c r="J110" s="16"/>
      <c r="K110" s="16">
        <v>0</v>
      </c>
      <c r="L110" s="35"/>
      <c r="M110" s="16">
        <v>7297.54</v>
      </c>
      <c r="N110" s="2"/>
      <c r="O110" t="s">
        <v>226</v>
      </c>
      <c r="P110" s="34"/>
    </row>
    <row r="111" spans="1:16" s="34" customFormat="1" ht="15" customHeight="1">
      <c r="A111" s="42" t="s">
        <v>238</v>
      </c>
      <c r="B111" s="49" t="s">
        <v>251</v>
      </c>
      <c r="C111" s="48"/>
      <c r="D111" s="50"/>
      <c r="E111" s="47"/>
      <c r="F111" s="33"/>
      <c r="G111" s="33"/>
      <c r="H111" s="33"/>
      <c r="I111" s="33"/>
      <c r="J111" s="33"/>
      <c r="K111" s="33"/>
      <c r="L111" s="33"/>
      <c r="M111" s="33"/>
      <c r="N111" s="32"/>
    </row>
    <row r="112" spans="1:16" s="34" customFormat="1" ht="15" customHeight="1">
      <c r="A112" s="42"/>
      <c r="B112" s="49" t="s">
        <v>231</v>
      </c>
      <c r="C112" s="48" t="s">
        <v>232</v>
      </c>
      <c r="D112" s="50" t="s">
        <v>82</v>
      </c>
      <c r="E112" s="47">
        <v>0.2364</v>
      </c>
      <c r="F112" s="33">
        <v>1860</v>
      </c>
      <c r="G112" s="33">
        <v>439.7</v>
      </c>
      <c r="H112" s="33">
        <v>0</v>
      </c>
      <c r="I112" s="33">
        <v>0</v>
      </c>
      <c r="J112" s="33">
        <v>0</v>
      </c>
      <c r="K112" s="33">
        <v>0</v>
      </c>
      <c r="L112" s="33">
        <v>1860</v>
      </c>
      <c r="M112" s="33">
        <v>439.7</v>
      </c>
      <c r="N112" s="32" t="s">
        <v>56</v>
      </c>
    </row>
    <row r="113" spans="1:16" s="34" customFormat="1" ht="15" customHeight="1">
      <c r="A113" s="42"/>
      <c r="B113" s="49" t="s">
        <v>233</v>
      </c>
      <c r="C113" s="48" t="s">
        <v>234</v>
      </c>
      <c r="D113" s="50" t="s">
        <v>58</v>
      </c>
      <c r="E113" s="47">
        <v>1</v>
      </c>
      <c r="F113" s="33">
        <v>26.38</v>
      </c>
      <c r="G113" s="33">
        <v>26.3</v>
      </c>
      <c r="H113" s="33">
        <v>0</v>
      </c>
      <c r="I113" s="33">
        <v>0</v>
      </c>
      <c r="J113" s="33">
        <v>0</v>
      </c>
      <c r="K113" s="33">
        <v>0</v>
      </c>
      <c r="L113" s="33">
        <v>26.3</v>
      </c>
      <c r="M113" s="33">
        <v>26.3</v>
      </c>
      <c r="N113" s="32" t="s">
        <v>56</v>
      </c>
    </row>
    <row r="114" spans="1:16" s="34" customFormat="1" ht="15" customHeight="1">
      <c r="A114" s="42"/>
      <c r="B114" s="49" t="s">
        <v>235</v>
      </c>
      <c r="C114" s="48" t="s">
        <v>236</v>
      </c>
      <c r="D114" s="50" t="s">
        <v>50</v>
      </c>
      <c r="E114" s="47">
        <v>1</v>
      </c>
      <c r="F114" s="33">
        <v>119</v>
      </c>
      <c r="G114" s="33">
        <v>119</v>
      </c>
      <c r="H114" s="33">
        <v>1570</v>
      </c>
      <c r="I114" s="33">
        <v>1570</v>
      </c>
      <c r="J114" s="33">
        <v>0</v>
      </c>
      <c r="K114" s="33">
        <v>0</v>
      </c>
      <c r="L114" s="33">
        <v>1689</v>
      </c>
      <c r="M114" s="33">
        <v>1689</v>
      </c>
      <c r="N114" s="32" t="s">
        <v>56</v>
      </c>
    </row>
    <row r="115" spans="1:16" s="34" customFormat="1" ht="15" customHeight="1">
      <c r="A115" s="42"/>
      <c r="B115" s="49" t="s">
        <v>55</v>
      </c>
      <c r="C115" s="48" t="s">
        <v>237</v>
      </c>
      <c r="D115" s="50" t="s">
        <v>86</v>
      </c>
      <c r="E115" s="47">
        <v>1.44E-2</v>
      </c>
      <c r="F115" s="33">
        <v>0</v>
      </c>
      <c r="G115" s="33">
        <v>0</v>
      </c>
      <c r="H115" s="33">
        <v>122128</v>
      </c>
      <c r="I115" s="33">
        <v>1758.6</v>
      </c>
      <c r="J115" s="33">
        <v>0</v>
      </c>
      <c r="K115" s="33">
        <v>0</v>
      </c>
      <c r="L115" s="33">
        <v>122128</v>
      </c>
      <c r="M115" s="33">
        <v>1758.6</v>
      </c>
      <c r="N115" s="32" t="s">
        <v>56</v>
      </c>
    </row>
    <row r="116" spans="1:16" s="34" customFormat="1" ht="15" customHeight="1">
      <c r="A116" s="42"/>
      <c r="B116" s="49" t="s">
        <v>55</v>
      </c>
      <c r="C116" s="48" t="s">
        <v>60</v>
      </c>
      <c r="D116" s="50" t="s">
        <v>86</v>
      </c>
      <c r="E116" s="47">
        <v>2.3999999999999998E-3</v>
      </c>
      <c r="F116" s="33">
        <v>0</v>
      </c>
      <c r="G116" s="33">
        <v>0</v>
      </c>
      <c r="H116" s="33">
        <v>87805</v>
      </c>
      <c r="I116" s="33">
        <v>210.7</v>
      </c>
      <c r="J116" s="33">
        <v>0</v>
      </c>
      <c r="K116" s="33">
        <v>0</v>
      </c>
      <c r="L116" s="33">
        <v>87805</v>
      </c>
      <c r="M116" s="33">
        <v>210.7</v>
      </c>
      <c r="N116" s="32" t="s">
        <v>56</v>
      </c>
    </row>
    <row r="117" spans="1:16" ht="15" customHeight="1">
      <c r="A117" s="43"/>
      <c r="B117" s="74" t="s">
        <v>239</v>
      </c>
      <c r="C117" s="75" t="s">
        <v>56</v>
      </c>
      <c r="D117" s="38" t="s">
        <v>56</v>
      </c>
      <c r="E117" s="54"/>
      <c r="F117" s="16"/>
      <c r="G117" s="16">
        <v>585</v>
      </c>
      <c r="H117" s="16"/>
      <c r="I117" s="16">
        <v>3539</v>
      </c>
      <c r="J117" s="16"/>
      <c r="K117" s="16">
        <v>0</v>
      </c>
      <c r="L117" s="35"/>
      <c r="M117" s="16">
        <v>4124</v>
      </c>
      <c r="N117" s="2" t="s">
        <v>56</v>
      </c>
      <c r="O117" t="str">
        <f>A111</f>
        <v>일위16호</v>
      </c>
      <c r="P117" s="34"/>
    </row>
    <row r="118" spans="1:16" s="34" customFormat="1" ht="15" customHeight="1">
      <c r="A118" s="42" t="s">
        <v>241</v>
      </c>
      <c r="B118" s="49" t="s">
        <v>252</v>
      </c>
      <c r="C118" s="48"/>
      <c r="D118" s="50"/>
      <c r="E118" s="47"/>
      <c r="F118" s="33"/>
      <c r="G118" s="33"/>
      <c r="H118" s="33"/>
      <c r="I118" s="33"/>
      <c r="J118" s="33"/>
      <c r="K118" s="33"/>
      <c r="L118" s="33"/>
      <c r="M118" s="33"/>
      <c r="N118" s="32"/>
    </row>
    <row r="119" spans="1:16" s="34" customFormat="1" ht="15" customHeight="1">
      <c r="A119" s="42"/>
      <c r="B119" s="49" t="s">
        <v>55</v>
      </c>
      <c r="C119" s="48" t="s">
        <v>91</v>
      </c>
      <c r="D119" s="50" t="s">
        <v>86</v>
      </c>
      <c r="E119" s="47">
        <v>8.5999999999999993E-2</v>
      </c>
      <c r="F119" s="33">
        <v>0</v>
      </c>
      <c r="G119" s="33">
        <v>0</v>
      </c>
      <c r="H119" s="33">
        <v>135112</v>
      </c>
      <c r="I119" s="33">
        <v>11619.6</v>
      </c>
      <c r="J119" s="33">
        <v>0</v>
      </c>
      <c r="K119" s="33">
        <v>0</v>
      </c>
      <c r="L119" s="33">
        <v>135112</v>
      </c>
      <c r="M119" s="33">
        <v>11619.6</v>
      </c>
      <c r="N119" s="32" t="s">
        <v>56</v>
      </c>
    </row>
    <row r="120" spans="1:16" s="34" customFormat="1" ht="15" customHeight="1">
      <c r="A120" s="42"/>
      <c r="B120" s="49" t="s">
        <v>55</v>
      </c>
      <c r="C120" s="48" t="s">
        <v>60</v>
      </c>
      <c r="D120" s="50" t="s">
        <v>86</v>
      </c>
      <c r="E120" s="47">
        <v>2.1999999999999999E-2</v>
      </c>
      <c r="F120" s="33">
        <v>0</v>
      </c>
      <c r="G120" s="33">
        <v>0</v>
      </c>
      <c r="H120" s="33">
        <v>87805</v>
      </c>
      <c r="I120" s="33">
        <v>1931.7</v>
      </c>
      <c r="J120" s="33">
        <v>0</v>
      </c>
      <c r="K120" s="33">
        <v>0</v>
      </c>
      <c r="L120" s="33">
        <v>87805</v>
      </c>
      <c r="M120" s="33">
        <v>1931.7</v>
      </c>
      <c r="N120" s="32" t="s">
        <v>56</v>
      </c>
    </row>
    <row r="121" spans="1:16" s="34" customFormat="1" ht="15" customHeight="1">
      <c r="A121" s="42"/>
      <c r="B121" s="49" t="s">
        <v>64</v>
      </c>
      <c r="C121" s="48" t="s">
        <v>240</v>
      </c>
      <c r="D121" s="50" t="s">
        <v>58</v>
      </c>
      <c r="E121" s="47">
        <v>1</v>
      </c>
      <c r="F121" s="33">
        <v>406.53</v>
      </c>
      <c r="G121" s="33">
        <v>406.5</v>
      </c>
      <c r="H121" s="33">
        <v>0</v>
      </c>
      <c r="I121" s="33">
        <v>0</v>
      </c>
      <c r="J121" s="33">
        <v>0</v>
      </c>
      <c r="K121" s="33">
        <v>0</v>
      </c>
      <c r="L121" s="33">
        <v>406.5</v>
      </c>
      <c r="M121" s="33">
        <v>406.5</v>
      </c>
      <c r="N121" s="32" t="s">
        <v>56</v>
      </c>
    </row>
    <row r="122" spans="1:16" ht="15" customHeight="1">
      <c r="A122" s="43"/>
      <c r="B122" s="74" t="s">
        <v>239</v>
      </c>
      <c r="C122" s="75" t="s">
        <v>56</v>
      </c>
      <c r="D122" s="38" t="s">
        <v>56</v>
      </c>
      <c r="E122" s="54"/>
      <c r="F122" s="16"/>
      <c r="G122" s="16">
        <v>406</v>
      </c>
      <c r="H122" s="16"/>
      <c r="I122" s="16">
        <v>13551</v>
      </c>
      <c r="J122" s="16"/>
      <c r="K122" s="16">
        <v>0</v>
      </c>
      <c r="L122" s="35"/>
      <c r="M122" s="16">
        <v>13957</v>
      </c>
      <c r="N122" s="2" t="s">
        <v>56</v>
      </c>
      <c r="O122" t="str">
        <f>A118</f>
        <v>일위17호</v>
      </c>
      <c r="P122" s="34"/>
    </row>
    <row r="123" spans="1:16" s="34" customFormat="1" ht="15" customHeight="1">
      <c r="A123" s="42" t="s">
        <v>249</v>
      </c>
      <c r="B123" s="49" t="s">
        <v>253</v>
      </c>
      <c r="C123" s="48"/>
      <c r="D123" s="50"/>
      <c r="E123" s="47"/>
      <c r="F123" s="33"/>
      <c r="G123" s="33"/>
      <c r="H123" s="33"/>
      <c r="I123" s="33"/>
      <c r="J123" s="33"/>
      <c r="K123" s="33"/>
      <c r="L123" s="33"/>
      <c r="M123" s="33"/>
      <c r="N123" s="32"/>
    </row>
    <row r="124" spans="1:16" s="34" customFormat="1" ht="15" customHeight="1">
      <c r="A124" s="42"/>
      <c r="B124" s="49" t="s">
        <v>245</v>
      </c>
      <c r="C124" s="48" t="s">
        <v>246</v>
      </c>
      <c r="D124" s="50" t="s">
        <v>50</v>
      </c>
      <c r="E124" s="47">
        <v>1.05</v>
      </c>
      <c r="F124" s="33">
        <v>1830</v>
      </c>
      <c r="G124" s="33">
        <v>1921.5</v>
      </c>
      <c r="H124" s="33">
        <v>0</v>
      </c>
      <c r="I124" s="33">
        <v>0</v>
      </c>
      <c r="J124" s="33">
        <v>0</v>
      </c>
      <c r="K124" s="33">
        <v>0</v>
      </c>
      <c r="L124" s="33">
        <v>1830</v>
      </c>
      <c r="M124" s="33">
        <v>1921.5</v>
      </c>
      <c r="N124" s="32" t="s">
        <v>56</v>
      </c>
    </row>
    <row r="125" spans="1:16" s="34" customFormat="1" ht="15" customHeight="1">
      <c r="A125" s="42"/>
      <c r="B125" s="49" t="s">
        <v>222</v>
      </c>
      <c r="C125" s="48" t="s">
        <v>247</v>
      </c>
      <c r="D125" s="50" t="s">
        <v>92</v>
      </c>
      <c r="E125" s="47">
        <v>3.5000000000000003E-2</v>
      </c>
      <c r="F125" s="33">
        <v>861</v>
      </c>
      <c r="G125" s="33">
        <v>30.1</v>
      </c>
      <c r="H125" s="33">
        <v>0</v>
      </c>
      <c r="I125" s="33">
        <v>0</v>
      </c>
      <c r="J125" s="33">
        <v>0</v>
      </c>
      <c r="K125" s="33">
        <v>0</v>
      </c>
      <c r="L125" s="33">
        <v>861</v>
      </c>
      <c r="M125" s="33">
        <v>30.1</v>
      </c>
      <c r="N125" s="32" t="s">
        <v>56</v>
      </c>
    </row>
    <row r="126" spans="1:16" s="34" customFormat="1" ht="15" customHeight="1">
      <c r="A126" s="42"/>
      <c r="B126" s="49" t="s">
        <v>55</v>
      </c>
      <c r="C126" s="48" t="s">
        <v>91</v>
      </c>
      <c r="D126" s="50" t="s">
        <v>86</v>
      </c>
      <c r="E126" s="47">
        <v>3.3000000000000002E-2</v>
      </c>
      <c r="F126" s="33">
        <v>0</v>
      </c>
      <c r="G126" s="33">
        <v>0</v>
      </c>
      <c r="H126" s="33">
        <v>135112</v>
      </c>
      <c r="I126" s="33">
        <v>4458.6000000000004</v>
      </c>
      <c r="J126" s="33">
        <v>0</v>
      </c>
      <c r="K126" s="33">
        <v>0</v>
      </c>
      <c r="L126" s="33">
        <v>135112</v>
      </c>
      <c r="M126" s="33">
        <v>4458.6000000000004</v>
      </c>
      <c r="N126" s="32" t="s">
        <v>56</v>
      </c>
    </row>
    <row r="127" spans="1:16" s="34" customFormat="1" ht="15" customHeight="1">
      <c r="A127" s="42"/>
      <c r="B127" s="49" t="s">
        <v>55</v>
      </c>
      <c r="C127" s="48" t="s">
        <v>60</v>
      </c>
      <c r="D127" s="50" t="s">
        <v>86</v>
      </c>
      <c r="E127" s="47">
        <v>1.6E-2</v>
      </c>
      <c r="F127" s="33">
        <v>0</v>
      </c>
      <c r="G127" s="33">
        <v>0</v>
      </c>
      <c r="H127" s="33">
        <v>87805</v>
      </c>
      <c r="I127" s="33">
        <v>1404.8</v>
      </c>
      <c r="J127" s="33">
        <v>0</v>
      </c>
      <c r="K127" s="33">
        <v>0</v>
      </c>
      <c r="L127" s="33">
        <v>87805</v>
      </c>
      <c r="M127" s="33">
        <v>1404.8</v>
      </c>
      <c r="N127" s="32" t="s">
        <v>56</v>
      </c>
    </row>
    <row r="128" spans="1:16" s="34" customFormat="1" ht="15" customHeight="1">
      <c r="A128" s="42"/>
      <c r="B128" s="49" t="s">
        <v>248</v>
      </c>
      <c r="C128" s="48" t="s">
        <v>204</v>
      </c>
      <c r="D128" s="50" t="s">
        <v>58</v>
      </c>
      <c r="E128" s="47">
        <v>1</v>
      </c>
      <c r="F128" s="33">
        <v>58.63</v>
      </c>
      <c r="G128" s="33">
        <v>58.6</v>
      </c>
      <c r="H128" s="33">
        <v>0</v>
      </c>
      <c r="I128" s="33">
        <v>0</v>
      </c>
      <c r="J128" s="33">
        <v>0</v>
      </c>
      <c r="K128" s="33">
        <v>0</v>
      </c>
      <c r="L128" s="33">
        <v>58.6</v>
      </c>
      <c r="M128" s="33">
        <v>58.6</v>
      </c>
      <c r="N128" s="32" t="s">
        <v>56</v>
      </c>
    </row>
    <row r="129" spans="1:16" ht="15" customHeight="1">
      <c r="A129" s="43"/>
      <c r="B129" s="74" t="s">
        <v>239</v>
      </c>
      <c r="C129" s="75" t="s">
        <v>56</v>
      </c>
      <c r="D129" s="38" t="s">
        <v>56</v>
      </c>
      <c r="E129" s="54"/>
      <c r="F129" s="16"/>
      <c r="G129" s="16">
        <v>2010</v>
      </c>
      <c r="H129" s="16"/>
      <c r="I129" s="16">
        <v>5863</v>
      </c>
      <c r="J129" s="16"/>
      <c r="K129" s="16">
        <v>0</v>
      </c>
      <c r="L129" s="35"/>
      <c r="M129" s="16">
        <v>7873</v>
      </c>
      <c r="N129" s="2" t="s">
        <v>56</v>
      </c>
      <c r="O129" t="str">
        <f>A123</f>
        <v>일위18호</v>
      </c>
      <c r="P129" s="34"/>
    </row>
    <row r="130" spans="1:16" s="34" customFormat="1" ht="15" customHeight="1">
      <c r="A130" s="42" t="s">
        <v>250</v>
      </c>
      <c r="B130" s="49" t="s">
        <v>254</v>
      </c>
      <c r="C130" s="48"/>
      <c r="D130" s="50"/>
      <c r="E130" s="47"/>
      <c r="F130" s="33"/>
      <c r="G130" s="33"/>
      <c r="H130" s="33"/>
      <c r="I130" s="33"/>
      <c r="J130" s="33"/>
      <c r="K130" s="33"/>
      <c r="L130" s="33"/>
      <c r="M130" s="33"/>
      <c r="N130" s="32"/>
    </row>
    <row r="131" spans="1:16" s="34" customFormat="1" ht="15" customHeight="1">
      <c r="A131" s="42"/>
      <c r="B131" s="49" t="s">
        <v>245</v>
      </c>
      <c r="C131" s="48" t="s">
        <v>246</v>
      </c>
      <c r="D131" s="50" t="s">
        <v>50</v>
      </c>
      <c r="E131" s="47">
        <v>1.05</v>
      </c>
      <c r="F131" s="33">
        <v>1830</v>
      </c>
      <c r="G131" s="33">
        <v>1921.5</v>
      </c>
      <c r="H131" s="33">
        <v>0</v>
      </c>
      <c r="I131" s="33">
        <v>0</v>
      </c>
      <c r="J131" s="33">
        <v>0</v>
      </c>
      <c r="K131" s="33">
        <v>0</v>
      </c>
      <c r="L131" s="33">
        <v>1830</v>
      </c>
      <c r="M131" s="33">
        <v>1921.5</v>
      </c>
      <c r="N131" s="32" t="s">
        <v>56</v>
      </c>
    </row>
    <row r="132" spans="1:16" s="34" customFormat="1" ht="15" customHeight="1">
      <c r="A132" s="42"/>
      <c r="B132" s="49" t="s">
        <v>222</v>
      </c>
      <c r="C132" s="48" t="s">
        <v>247</v>
      </c>
      <c r="D132" s="50" t="s">
        <v>92</v>
      </c>
      <c r="E132" s="47">
        <v>3.5000000000000003E-2</v>
      </c>
      <c r="F132" s="33">
        <v>861</v>
      </c>
      <c r="G132" s="33">
        <v>30.1</v>
      </c>
      <c r="H132" s="33">
        <v>0</v>
      </c>
      <c r="I132" s="33">
        <v>0</v>
      </c>
      <c r="J132" s="33">
        <v>0</v>
      </c>
      <c r="K132" s="33">
        <v>0</v>
      </c>
      <c r="L132" s="33">
        <v>861</v>
      </c>
      <c r="M132" s="33">
        <v>30.1</v>
      </c>
      <c r="N132" s="32" t="s">
        <v>56</v>
      </c>
    </row>
    <row r="133" spans="1:16" s="34" customFormat="1" ht="15" customHeight="1">
      <c r="A133" s="42"/>
      <c r="B133" s="49" t="s">
        <v>55</v>
      </c>
      <c r="C133" s="48" t="s">
        <v>91</v>
      </c>
      <c r="D133" s="50" t="s">
        <v>86</v>
      </c>
      <c r="E133" s="47">
        <v>3.9600000000000003E-2</v>
      </c>
      <c r="F133" s="33">
        <v>0</v>
      </c>
      <c r="G133" s="33">
        <v>0</v>
      </c>
      <c r="H133" s="33">
        <v>135112</v>
      </c>
      <c r="I133" s="33">
        <v>5350.4</v>
      </c>
      <c r="J133" s="33">
        <v>0</v>
      </c>
      <c r="K133" s="33">
        <v>0</v>
      </c>
      <c r="L133" s="33">
        <v>135112</v>
      </c>
      <c r="M133" s="33">
        <v>5350.4</v>
      </c>
      <c r="N133" s="32" t="s">
        <v>56</v>
      </c>
    </row>
    <row r="134" spans="1:16" s="34" customFormat="1" ht="15" customHeight="1">
      <c r="A134" s="42"/>
      <c r="B134" s="49" t="s">
        <v>55</v>
      </c>
      <c r="C134" s="48" t="s">
        <v>60</v>
      </c>
      <c r="D134" s="50" t="s">
        <v>86</v>
      </c>
      <c r="E134" s="47">
        <v>1.9199999999999998E-2</v>
      </c>
      <c r="F134" s="33">
        <v>0</v>
      </c>
      <c r="G134" s="33">
        <v>0</v>
      </c>
      <c r="H134" s="33">
        <v>87805</v>
      </c>
      <c r="I134" s="33">
        <v>1685.8</v>
      </c>
      <c r="J134" s="33">
        <v>0</v>
      </c>
      <c r="K134" s="33">
        <v>0</v>
      </c>
      <c r="L134" s="33">
        <v>87805</v>
      </c>
      <c r="M134" s="33">
        <v>1685.8</v>
      </c>
      <c r="N134" s="32" t="s">
        <v>56</v>
      </c>
    </row>
    <row r="135" spans="1:16" s="34" customFormat="1" ht="15" customHeight="1">
      <c r="A135" s="42"/>
      <c r="B135" s="49" t="s">
        <v>248</v>
      </c>
      <c r="C135" s="48" t="s">
        <v>204</v>
      </c>
      <c r="D135" s="50" t="s">
        <v>58</v>
      </c>
      <c r="E135" s="47">
        <v>1</v>
      </c>
      <c r="F135" s="33">
        <v>70.36</v>
      </c>
      <c r="G135" s="33">
        <v>70.3</v>
      </c>
      <c r="H135" s="33">
        <v>0</v>
      </c>
      <c r="I135" s="33">
        <v>0</v>
      </c>
      <c r="J135" s="33">
        <v>0</v>
      </c>
      <c r="K135" s="33">
        <v>0</v>
      </c>
      <c r="L135" s="33">
        <v>70.3</v>
      </c>
      <c r="M135" s="33">
        <v>70.3</v>
      </c>
      <c r="N135" s="32" t="s">
        <v>56</v>
      </c>
    </row>
    <row r="136" spans="1:16" ht="15" customHeight="1">
      <c r="A136" s="43"/>
      <c r="B136" s="74" t="s">
        <v>239</v>
      </c>
      <c r="C136" s="75" t="s">
        <v>56</v>
      </c>
      <c r="D136" s="38" t="s">
        <v>56</v>
      </c>
      <c r="E136" s="54"/>
      <c r="F136" s="16"/>
      <c r="G136" s="16">
        <v>2021</v>
      </c>
      <c r="H136" s="16"/>
      <c r="I136" s="16">
        <v>7036</v>
      </c>
      <c r="J136" s="16"/>
      <c r="K136" s="16">
        <v>0</v>
      </c>
      <c r="L136" s="35"/>
      <c r="M136" s="16">
        <v>9057</v>
      </c>
      <c r="N136" s="2" t="s">
        <v>56</v>
      </c>
      <c r="O136" t="str">
        <f>A130</f>
        <v>일위19호</v>
      </c>
      <c r="P136" s="34"/>
    </row>
    <row r="137" spans="1:16" s="34" customFormat="1" ht="15" customHeight="1">
      <c r="A137" s="42" t="s">
        <v>263</v>
      </c>
      <c r="B137" s="49" t="s">
        <v>262</v>
      </c>
      <c r="C137" s="48"/>
      <c r="D137" s="50"/>
      <c r="E137" s="47"/>
      <c r="F137" s="33"/>
      <c r="G137" s="33"/>
      <c r="H137" s="33"/>
      <c r="I137" s="33"/>
      <c r="J137" s="33"/>
      <c r="K137" s="33"/>
      <c r="L137" s="33"/>
      <c r="M137" s="33"/>
      <c r="N137" s="32"/>
    </row>
    <row r="138" spans="1:16" s="34" customFormat="1" ht="15" customHeight="1">
      <c r="A138" s="42"/>
      <c r="B138" s="49" t="s">
        <v>259</v>
      </c>
      <c r="C138" s="48" t="s">
        <v>260</v>
      </c>
      <c r="D138" s="50" t="s">
        <v>50</v>
      </c>
      <c r="E138" s="47">
        <v>1.05</v>
      </c>
      <c r="F138" s="33">
        <v>9200</v>
      </c>
      <c r="G138" s="33">
        <v>9660</v>
      </c>
      <c r="H138" s="33">
        <v>0</v>
      </c>
      <c r="I138" s="33">
        <v>0</v>
      </c>
      <c r="J138" s="33">
        <v>0</v>
      </c>
      <c r="K138" s="33">
        <v>0</v>
      </c>
      <c r="L138" s="33">
        <v>9200</v>
      </c>
      <c r="M138" s="33">
        <v>9660</v>
      </c>
      <c r="N138" s="32" t="s">
        <v>56</v>
      </c>
    </row>
    <row r="139" spans="1:16" s="34" customFormat="1" ht="15" customHeight="1">
      <c r="A139" s="42"/>
      <c r="B139" s="49" t="s">
        <v>211</v>
      </c>
      <c r="C139" s="48" t="s">
        <v>261</v>
      </c>
      <c r="D139" s="50" t="s">
        <v>92</v>
      </c>
      <c r="E139" s="47">
        <v>0.12</v>
      </c>
      <c r="F139" s="33">
        <v>2450</v>
      </c>
      <c r="G139" s="33">
        <v>294</v>
      </c>
      <c r="H139" s="33">
        <v>0</v>
      </c>
      <c r="I139" s="33">
        <v>0</v>
      </c>
      <c r="J139" s="33">
        <v>0</v>
      </c>
      <c r="K139" s="33">
        <v>0</v>
      </c>
      <c r="L139" s="33">
        <v>2450</v>
      </c>
      <c r="M139" s="33">
        <v>294</v>
      </c>
      <c r="N139" s="32" t="s">
        <v>56</v>
      </c>
    </row>
    <row r="140" spans="1:16" s="34" customFormat="1" ht="15" customHeight="1">
      <c r="A140" s="42"/>
      <c r="B140" s="49" t="s">
        <v>55</v>
      </c>
      <c r="C140" s="48" t="s">
        <v>91</v>
      </c>
      <c r="D140" s="50" t="s">
        <v>86</v>
      </c>
      <c r="E140" s="47">
        <v>1.2E-2</v>
      </c>
      <c r="F140" s="33">
        <v>0</v>
      </c>
      <c r="G140" s="33">
        <v>0</v>
      </c>
      <c r="H140" s="33">
        <v>135112</v>
      </c>
      <c r="I140" s="33">
        <v>1621.3</v>
      </c>
      <c r="J140" s="33">
        <v>0</v>
      </c>
      <c r="K140" s="33">
        <v>0</v>
      </c>
      <c r="L140" s="33">
        <v>135112</v>
      </c>
      <c r="M140" s="33">
        <v>1621.3</v>
      </c>
      <c r="N140" s="32" t="s">
        <v>56</v>
      </c>
    </row>
    <row r="141" spans="1:16" s="34" customFormat="1" ht="15" customHeight="1">
      <c r="A141" s="42"/>
      <c r="B141" s="49" t="s">
        <v>55</v>
      </c>
      <c r="C141" s="48" t="s">
        <v>60</v>
      </c>
      <c r="D141" s="50" t="s">
        <v>86</v>
      </c>
      <c r="E141" s="47">
        <v>0.01</v>
      </c>
      <c r="F141" s="33">
        <v>0</v>
      </c>
      <c r="G141" s="33">
        <v>0</v>
      </c>
      <c r="H141" s="33">
        <v>87805</v>
      </c>
      <c r="I141" s="33">
        <v>878</v>
      </c>
      <c r="J141" s="33">
        <v>0</v>
      </c>
      <c r="K141" s="33">
        <v>0</v>
      </c>
      <c r="L141" s="33">
        <v>87805</v>
      </c>
      <c r="M141" s="33">
        <v>878</v>
      </c>
      <c r="N141" s="32" t="s">
        <v>56</v>
      </c>
    </row>
    <row r="142" spans="1:16" ht="15" customHeight="1">
      <c r="A142" s="43"/>
      <c r="B142" s="74" t="s">
        <v>239</v>
      </c>
      <c r="C142" s="75" t="s">
        <v>56</v>
      </c>
      <c r="D142" s="38" t="s">
        <v>56</v>
      </c>
      <c r="E142" s="54"/>
      <c r="F142" s="16"/>
      <c r="G142" s="16">
        <v>9954</v>
      </c>
      <c r="H142" s="16"/>
      <c r="I142" s="16">
        <v>2499</v>
      </c>
      <c r="J142" s="16"/>
      <c r="K142" s="16">
        <v>0</v>
      </c>
      <c r="L142" s="35"/>
      <c r="M142" s="16">
        <v>12453</v>
      </c>
      <c r="N142" s="2" t="s">
        <v>56</v>
      </c>
      <c r="O142" t="str">
        <f>A137</f>
        <v>일위20호</v>
      </c>
      <c r="P142" s="34"/>
    </row>
    <row r="143" spans="1:16" ht="15" customHeight="1">
      <c r="A143" s="42" t="s">
        <v>275</v>
      </c>
      <c r="B143" s="49" t="s">
        <v>274</v>
      </c>
      <c r="C143" s="48"/>
      <c r="D143" s="50"/>
      <c r="E143" s="47"/>
      <c r="F143" s="33"/>
      <c r="G143" s="33"/>
      <c r="H143" s="33"/>
      <c r="I143" s="33"/>
      <c r="J143" s="33"/>
      <c r="K143" s="33"/>
      <c r="L143" s="33"/>
      <c r="M143" s="33"/>
      <c r="N143" s="32"/>
      <c r="P143" s="34"/>
    </row>
    <row r="144" spans="1:16" ht="15" customHeight="1">
      <c r="A144" s="42"/>
      <c r="B144" s="49" t="s">
        <v>267</v>
      </c>
      <c r="C144" s="48" t="s">
        <v>268</v>
      </c>
      <c r="D144" s="50" t="s">
        <v>82</v>
      </c>
      <c r="E144" s="47">
        <v>0.16600000000000001</v>
      </c>
      <c r="F144" s="33">
        <v>3640</v>
      </c>
      <c r="G144" s="33">
        <v>604.20000000000005</v>
      </c>
      <c r="H144" s="33">
        <v>0</v>
      </c>
      <c r="I144" s="33">
        <v>0</v>
      </c>
      <c r="J144" s="33">
        <v>0</v>
      </c>
      <c r="K144" s="33">
        <v>0</v>
      </c>
      <c r="L144" s="33">
        <v>3640</v>
      </c>
      <c r="M144" s="33">
        <v>604.20000000000005</v>
      </c>
      <c r="N144" s="32" t="s">
        <v>56</v>
      </c>
      <c r="P144" s="34"/>
    </row>
    <row r="145" spans="1:16" ht="15" customHeight="1">
      <c r="A145" s="42"/>
      <c r="B145" s="49" t="s">
        <v>269</v>
      </c>
      <c r="C145" s="48" t="s">
        <v>270</v>
      </c>
      <c r="D145" s="50" t="s">
        <v>82</v>
      </c>
      <c r="E145" s="47">
        <v>8.0000000000000002E-3</v>
      </c>
      <c r="F145" s="33">
        <v>1778</v>
      </c>
      <c r="G145" s="33">
        <v>14.2</v>
      </c>
      <c r="H145" s="33">
        <v>0</v>
      </c>
      <c r="I145" s="33">
        <v>0</v>
      </c>
      <c r="J145" s="33">
        <v>0</v>
      </c>
      <c r="K145" s="33">
        <v>0</v>
      </c>
      <c r="L145" s="33">
        <v>1778</v>
      </c>
      <c r="M145" s="33">
        <v>14.2</v>
      </c>
      <c r="N145" s="32" t="s">
        <v>56</v>
      </c>
      <c r="P145" s="34"/>
    </row>
    <row r="146" spans="1:16" ht="15" customHeight="1">
      <c r="A146" s="42"/>
      <c r="B146" s="49" t="s">
        <v>233</v>
      </c>
      <c r="C146" s="48" t="s">
        <v>271</v>
      </c>
      <c r="D146" s="50" t="s">
        <v>58</v>
      </c>
      <c r="E146" s="47">
        <v>1</v>
      </c>
      <c r="F146" s="33">
        <v>24.73</v>
      </c>
      <c r="G146" s="33">
        <v>24.7</v>
      </c>
      <c r="H146" s="33">
        <v>0</v>
      </c>
      <c r="I146" s="33">
        <v>0</v>
      </c>
      <c r="J146" s="33">
        <v>0</v>
      </c>
      <c r="K146" s="33">
        <v>0</v>
      </c>
      <c r="L146" s="33">
        <v>24.7</v>
      </c>
      <c r="M146" s="33">
        <v>24.7</v>
      </c>
      <c r="N146" s="32" t="s">
        <v>56</v>
      </c>
      <c r="P146" s="34"/>
    </row>
    <row r="147" spans="1:16" ht="15" customHeight="1">
      <c r="A147" s="42"/>
      <c r="B147" s="49" t="s">
        <v>272</v>
      </c>
      <c r="C147" s="48" t="s">
        <v>273</v>
      </c>
      <c r="D147" s="50" t="s">
        <v>50</v>
      </c>
      <c r="E147" s="47">
        <v>1</v>
      </c>
      <c r="F147" s="33">
        <v>169</v>
      </c>
      <c r="G147" s="33">
        <v>169</v>
      </c>
      <c r="H147" s="33">
        <v>698</v>
      </c>
      <c r="I147" s="33">
        <v>698</v>
      </c>
      <c r="J147" s="33">
        <v>0</v>
      </c>
      <c r="K147" s="33">
        <v>0</v>
      </c>
      <c r="L147" s="33">
        <v>867</v>
      </c>
      <c r="M147" s="33">
        <v>867</v>
      </c>
      <c r="N147" s="32" t="s">
        <v>56</v>
      </c>
      <c r="P147" s="34"/>
    </row>
    <row r="148" spans="1:16" ht="15" customHeight="1">
      <c r="A148" s="42"/>
      <c r="B148" s="49" t="s">
        <v>55</v>
      </c>
      <c r="C148" s="48" t="s">
        <v>237</v>
      </c>
      <c r="D148" s="50" t="s">
        <v>86</v>
      </c>
      <c r="E148" s="47">
        <v>0.02</v>
      </c>
      <c r="F148" s="33">
        <v>0</v>
      </c>
      <c r="G148" s="33">
        <v>0</v>
      </c>
      <c r="H148" s="33">
        <v>122128</v>
      </c>
      <c r="I148" s="33">
        <v>2442.5</v>
      </c>
      <c r="J148" s="33">
        <v>0</v>
      </c>
      <c r="K148" s="33">
        <v>0</v>
      </c>
      <c r="L148" s="33">
        <v>122128</v>
      </c>
      <c r="M148" s="33">
        <v>2442.5</v>
      </c>
      <c r="N148" s="32" t="s">
        <v>56</v>
      </c>
      <c r="P148" s="34"/>
    </row>
    <row r="149" spans="1:16" ht="15" customHeight="1">
      <c r="A149" s="42"/>
      <c r="B149" s="49" t="s">
        <v>55</v>
      </c>
      <c r="C149" s="48" t="s">
        <v>60</v>
      </c>
      <c r="D149" s="50" t="s">
        <v>86</v>
      </c>
      <c r="E149" s="47">
        <v>4.0000000000000001E-3</v>
      </c>
      <c r="F149" s="33">
        <v>0</v>
      </c>
      <c r="G149" s="33">
        <v>0</v>
      </c>
      <c r="H149" s="33">
        <v>87805</v>
      </c>
      <c r="I149" s="33">
        <v>351.2</v>
      </c>
      <c r="J149" s="33">
        <v>0</v>
      </c>
      <c r="K149" s="33">
        <v>0</v>
      </c>
      <c r="L149" s="33">
        <v>87805</v>
      </c>
      <c r="M149" s="33">
        <v>351.2</v>
      </c>
      <c r="N149" s="32" t="s">
        <v>56</v>
      </c>
      <c r="P149" s="34"/>
    </row>
    <row r="150" spans="1:16" ht="15" customHeight="1">
      <c r="A150" s="43"/>
      <c r="B150" s="74" t="s">
        <v>239</v>
      </c>
      <c r="C150" s="75" t="s">
        <v>56</v>
      </c>
      <c r="D150" s="38" t="s">
        <v>56</v>
      </c>
      <c r="E150" s="54"/>
      <c r="F150" s="16"/>
      <c r="G150" s="16">
        <v>812</v>
      </c>
      <c r="H150" s="16"/>
      <c r="I150" s="16">
        <v>3491</v>
      </c>
      <c r="J150" s="16"/>
      <c r="K150" s="16">
        <v>0</v>
      </c>
      <c r="L150" s="35"/>
      <c r="M150" s="16">
        <v>4303</v>
      </c>
      <c r="N150" s="2" t="s">
        <v>56</v>
      </c>
      <c r="O150" t="str">
        <f>A143</f>
        <v>일위21호</v>
      </c>
      <c r="P150" s="34"/>
    </row>
    <row r="151" spans="1:16" ht="15" customHeight="1">
      <c r="A151" s="42" t="s">
        <v>287</v>
      </c>
      <c r="B151" s="49" t="s">
        <v>285</v>
      </c>
      <c r="C151" s="48"/>
      <c r="D151" s="50"/>
      <c r="E151" s="47"/>
      <c r="F151" s="33"/>
      <c r="G151" s="33"/>
      <c r="H151" s="33"/>
      <c r="I151" s="33"/>
      <c r="J151" s="33"/>
      <c r="K151" s="33"/>
      <c r="L151" s="33"/>
      <c r="M151" s="33"/>
      <c r="N151" s="32"/>
      <c r="P151" s="34"/>
    </row>
    <row r="152" spans="1:16" ht="15" customHeight="1">
      <c r="A152" s="42"/>
      <c r="B152" s="49" t="s">
        <v>278</v>
      </c>
      <c r="C152" s="48" t="s">
        <v>279</v>
      </c>
      <c r="D152" s="50" t="s">
        <v>92</v>
      </c>
      <c r="E152" s="47">
        <v>0.05</v>
      </c>
      <c r="F152" s="33">
        <v>1994</v>
      </c>
      <c r="G152" s="33">
        <v>99.7</v>
      </c>
      <c r="H152" s="33">
        <v>0</v>
      </c>
      <c r="I152" s="33">
        <v>0</v>
      </c>
      <c r="J152" s="33">
        <v>0</v>
      </c>
      <c r="K152" s="33">
        <v>0</v>
      </c>
      <c r="L152" s="33">
        <v>1994</v>
      </c>
      <c r="M152" s="33">
        <v>99.7</v>
      </c>
      <c r="N152" s="32" t="s">
        <v>280</v>
      </c>
      <c r="P152" s="34"/>
    </row>
    <row r="153" spans="1:16" ht="15" customHeight="1">
      <c r="A153" s="42"/>
      <c r="B153" s="49" t="s">
        <v>281</v>
      </c>
      <c r="C153" s="48" t="s">
        <v>282</v>
      </c>
      <c r="D153" s="50" t="s">
        <v>283</v>
      </c>
      <c r="E153" s="47">
        <v>0.1</v>
      </c>
      <c r="F153" s="33">
        <v>200</v>
      </c>
      <c r="G153" s="33">
        <v>20</v>
      </c>
      <c r="H153" s="33">
        <v>0</v>
      </c>
      <c r="I153" s="33">
        <v>0</v>
      </c>
      <c r="J153" s="33">
        <v>0</v>
      </c>
      <c r="K153" s="33">
        <v>0</v>
      </c>
      <c r="L153" s="33">
        <v>200</v>
      </c>
      <c r="M153" s="33">
        <v>20</v>
      </c>
      <c r="N153" s="32" t="s">
        <v>56</v>
      </c>
      <c r="P153" s="34"/>
    </row>
    <row r="154" spans="1:16" ht="15" customHeight="1">
      <c r="A154" s="42"/>
      <c r="B154" s="49" t="s">
        <v>55</v>
      </c>
      <c r="C154" s="48" t="s">
        <v>237</v>
      </c>
      <c r="D154" s="50" t="s">
        <v>86</v>
      </c>
      <c r="E154" s="47">
        <v>0.01</v>
      </c>
      <c r="F154" s="33">
        <v>0</v>
      </c>
      <c r="G154" s="33">
        <v>0</v>
      </c>
      <c r="H154" s="33">
        <v>122128</v>
      </c>
      <c r="I154" s="33">
        <v>1221.2</v>
      </c>
      <c r="J154" s="33">
        <v>0</v>
      </c>
      <c r="K154" s="33">
        <v>0</v>
      </c>
      <c r="L154" s="33">
        <v>122128</v>
      </c>
      <c r="M154" s="33">
        <v>1221.2</v>
      </c>
      <c r="N154" s="32" t="s">
        <v>56</v>
      </c>
      <c r="P154" s="34"/>
    </row>
    <row r="155" spans="1:16" ht="15" customHeight="1">
      <c r="A155" s="42"/>
      <c r="B155" s="49" t="s">
        <v>55</v>
      </c>
      <c r="C155" s="48" t="s">
        <v>60</v>
      </c>
      <c r="D155" s="50" t="s">
        <v>86</v>
      </c>
      <c r="E155" s="47">
        <v>1E-3</v>
      </c>
      <c r="F155" s="33">
        <v>0</v>
      </c>
      <c r="G155" s="33">
        <v>0</v>
      </c>
      <c r="H155" s="33">
        <v>87805</v>
      </c>
      <c r="I155" s="33">
        <v>87.8</v>
      </c>
      <c r="J155" s="33">
        <v>0</v>
      </c>
      <c r="K155" s="33">
        <v>0</v>
      </c>
      <c r="L155" s="33">
        <v>87805</v>
      </c>
      <c r="M155" s="33">
        <v>87.8</v>
      </c>
      <c r="N155" s="32" t="s">
        <v>56</v>
      </c>
      <c r="P155" s="34"/>
    </row>
    <row r="156" spans="1:16" ht="15" customHeight="1">
      <c r="A156" s="43"/>
      <c r="B156" s="74" t="s">
        <v>239</v>
      </c>
      <c r="C156" s="75" t="s">
        <v>56</v>
      </c>
      <c r="D156" s="38" t="s">
        <v>56</v>
      </c>
      <c r="E156" s="54"/>
      <c r="F156" s="16"/>
      <c r="G156" s="16">
        <v>119</v>
      </c>
      <c r="H156" s="16"/>
      <c r="I156" s="16">
        <v>1309</v>
      </c>
      <c r="J156" s="16"/>
      <c r="K156" s="16">
        <v>0</v>
      </c>
      <c r="L156" s="35"/>
      <c r="M156" s="16">
        <v>1428</v>
      </c>
      <c r="N156" s="2" t="s">
        <v>56</v>
      </c>
      <c r="O156" t="str">
        <f>A151</f>
        <v>일위22호</v>
      </c>
      <c r="P156" s="34"/>
    </row>
    <row r="157" spans="1:16" ht="15" customHeight="1">
      <c r="A157" s="42" t="s">
        <v>288</v>
      </c>
      <c r="B157" s="49" t="s">
        <v>286</v>
      </c>
      <c r="C157" s="48"/>
      <c r="D157" s="50"/>
      <c r="E157" s="47"/>
      <c r="F157" s="33"/>
      <c r="G157" s="33"/>
      <c r="H157" s="33"/>
      <c r="I157" s="33"/>
      <c r="J157" s="33"/>
      <c r="K157" s="33"/>
      <c r="L157" s="33"/>
      <c r="M157" s="33"/>
      <c r="N157" s="32"/>
      <c r="P157" s="34"/>
    </row>
    <row r="158" spans="1:16" ht="15" customHeight="1">
      <c r="A158" s="42"/>
      <c r="B158" s="49" t="s">
        <v>281</v>
      </c>
      <c r="C158" s="48" t="s">
        <v>282</v>
      </c>
      <c r="D158" s="50" t="s">
        <v>283</v>
      </c>
      <c r="E158" s="47">
        <v>0.25</v>
      </c>
      <c r="F158" s="33">
        <v>200</v>
      </c>
      <c r="G158" s="33">
        <v>50</v>
      </c>
      <c r="H158" s="33">
        <v>0</v>
      </c>
      <c r="I158" s="33">
        <v>0</v>
      </c>
      <c r="J158" s="33">
        <v>0</v>
      </c>
      <c r="K158" s="33">
        <v>0</v>
      </c>
      <c r="L158" s="33">
        <v>200</v>
      </c>
      <c r="M158" s="33">
        <v>50</v>
      </c>
      <c r="N158" s="32" t="s">
        <v>56</v>
      </c>
      <c r="P158" s="34"/>
    </row>
    <row r="159" spans="1:16" ht="15" customHeight="1">
      <c r="A159" s="42"/>
      <c r="B159" s="49" t="s">
        <v>55</v>
      </c>
      <c r="C159" s="48" t="s">
        <v>237</v>
      </c>
      <c r="D159" s="50" t="s">
        <v>86</v>
      </c>
      <c r="E159" s="47">
        <v>1.4999999999999999E-2</v>
      </c>
      <c r="F159" s="33">
        <v>0</v>
      </c>
      <c r="G159" s="33">
        <v>0</v>
      </c>
      <c r="H159" s="33">
        <v>122128</v>
      </c>
      <c r="I159" s="33">
        <v>1831.9</v>
      </c>
      <c r="J159" s="33">
        <v>0</v>
      </c>
      <c r="K159" s="33">
        <v>0</v>
      </c>
      <c r="L159" s="33">
        <v>122128</v>
      </c>
      <c r="M159" s="33">
        <v>1831.9</v>
      </c>
      <c r="N159" s="32" t="s">
        <v>56</v>
      </c>
      <c r="P159" s="34"/>
    </row>
    <row r="160" spans="1:16" ht="15" customHeight="1">
      <c r="A160" s="42"/>
      <c r="B160" s="49" t="s">
        <v>64</v>
      </c>
      <c r="C160" s="48" t="s">
        <v>284</v>
      </c>
      <c r="D160" s="50" t="s">
        <v>58</v>
      </c>
      <c r="E160" s="47">
        <v>1</v>
      </c>
      <c r="F160" s="33">
        <v>36.630000000000003</v>
      </c>
      <c r="G160" s="33">
        <v>36.6</v>
      </c>
      <c r="H160" s="33">
        <v>0</v>
      </c>
      <c r="I160" s="33">
        <v>0</v>
      </c>
      <c r="J160" s="33">
        <v>0</v>
      </c>
      <c r="K160" s="33">
        <v>0</v>
      </c>
      <c r="L160" s="33">
        <v>36.6</v>
      </c>
      <c r="M160" s="33">
        <v>36.6</v>
      </c>
      <c r="N160" s="32" t="s">
        <v>56</v>
      </c>
      <c r="P160" s="34"/>
    </row>
    <row r="161" spans="1:16" ht="15" customHeight="1">
      <c r="A161" s="43"/>
      <c r="B161" s="74" t="s">
        <v>239</v>
      </c>
      <c r="C161" s="75" t="s">
        <v>56</v>
      </c>
      <c r="D161" s="38" t="s">
        <v>56</v>
      </c>
      <c r="E161" s="54"/>
      <c r="F161" s="16"/>
      <c r="G161" s="16">
        <v>86</v>
      </c>
      <c r="H161" s="16"/>
      <c r="I161" s="16">
        <v>1831</v>
      </c>
      <c r="J161" s="16"/>
      <c r="K161" s="16">
        <v>0</v>
      </c>
      <c r="L161" s="35"/>
      <c r="M161" s="16">
        <v>1917</v>
      </c>
      <c r="N161" s="2" t="s">
        <v>56</v>
      </c>
      <c r="O161" t="str">
        <f>A157</f>
        <v>일위23호</v>
      </c>
      <c r="P161" s="34"/>
    </row>
    <row r="162" spans="1:16" ht="15" customHeight="1">
      <c r="A162" s="42" t="s">
        <v>297</v>
      </c>
      <c r="B162" s="49" t="s">
        <v>296</v>
      </c>
      <c r="C162" s="48"/>
      <c r="D162" s="50"/>
      <c r="E162" s="47"/>
      <c r="F162" s="33"/>
      <c r="G162" s="33"/>
      <c r="H162" s="33"/>
      <c r="I162" s="33"/>
      <c r="J162" s="33"/>
      <c r="K162" s="33"/>
      <c r="L162" s="33"/>
      <c r="M162" s="33"/>
      <c r="N162" s="32"/>
      <c r="P162" s="34"/>
    </row>
    <row r="163" spans="1:16" ht="15" customHeight="1">
      <c r="A163" s="42"/>
      <c r="B163" s="49" t="s">
        <v>291</v>
      </c>
      <c r="C163" s="48" t="s">
        <v>292</v>
      </c>
      <c r="D163" s="50" t="s">
        <v>78</v>
      </c>
      <c r="E163" s="47">
        <v>3.2</v>
      </c>
      <c r="F163" s="33">
        <v>0</v>
      </c>
      <c r="G163" s="33">
        <v>0</v>
      </c>
      <c r="H163" s="33">
        <v>0</v>
      </c>
      <c r="I163" s="33">
        <v>0</v>
      </c>
      <c r="J163" s="33">
        <v>391</v>
      </c>
      <c r="K163" s="33">
        <v>1251.2</v>
      </c>
      <c r="L163" s="33">
        <v>391</v>
      </c>
      <c r="M163" s="33">
        <v>1251.2</v>
      </c>
      <c r="N163" s="32" t="s">
        <v>56</v>
      </c>
      <c r="P163" s="34"/>
    </row>
    <row r="164" spans="1:16" ht="15" customHeight="1">
      <c r="A164" s="42"/>
      <c r="B164" s="49" t="s">
        <v>293</v>
      </c>
      <c r="C164" s="48" t="s">
        <v>294</v>
      </c>
      <c r="D164" s="50" t="s">
        <v>78</v>
      </c>
      <c r="E164" s="47">
        <v>1.6</v>
      </c>
      <c r="F164" s="33">
        <v>8793</v>
      </c>
      <c r="G164" s="33">
        <v>14068.8</v>
      </c>
      <c r="H164" s="33">
        <v>25758</v>
      </c>
      <c r="I164" s="33">
        <v>41212.800000000003</v>
      </c>
      <c r="J164" s="33">
        <v>2066</v>
      </c>
      <c r="K164" s="33">
        <v>3305.6</v>
      </c>
      <c r="L164" s="33">
        <v>36617</v>
      </c>
      <c r="M164" s="33">
        <v>58587.199999999997</v>
      </c>
      <c r="N164" s="32" t="s">
        <v>56</v>
      </c>
      <c r="P164" s="34"/>
    </row>
    <row r="165" spans="1:16" ht="15" customHeight="1">
      <c r="A165" s="42"/>
      <c r="B165" s="49" t="s">
        <v>55</v>
      </c>
      <c r="C165" s="48" t="s">
        <v>295</v>
      </c>
      <c r="D165" s="50" t="s">
        <v>86</v>
      </c>
      <c r="E165" s="47">
        <v>0.62</v>
      </c>
      <c r="F165" s="33">
        <v>0</v>
      </c>
      <c r="G165" s="33">
        <v>0</v>
      </c>
      <c r="H165" s="33">
        <v>103874</v>
      </c>
      <c r="I165" s="33">
        <v>64401.8</v>
      </c>
      <c r="J165" s="33">
        <v>0</v>
      </c>
      <c r="K165" s="33">
        <v>0</v>
      </c>
      <c r="L165" s="33">
        <v>103874</v>
      </c>
      <c r="M165" s="33">
        <v>64401.8</v>
      </c>
      <c r="N165" s="32" t="s">
        <v>56</v>
      </c>
      <c r="P165" s="34"/>
    </row>
    <row r="166" spans="1:16" ht="15" customHeight="1">
      <c r="A166" s="42"/>
      <c r="B166" s="49" t="s">
        <v>55</v>
      </c>
      <c r="C166" s="48" t="s">
        <v>60</v>
      </c>
      <c r="D166" s="50" t="s">
        <v>86</v>
      </c>
      <c r="E166" s="47">
        <v>0.45</v>
      </c>
      <c r="F166" s="33">
        <v>0</v>
      </c>
      <c r="G166" s="33">
        <v>0</v>
      </c>
      <c r="H166" s="33">
        <v>87805</v>
      </c>
      <c r="I166" s="33">
        <v>39512.199999999997</v>
      </c>
      <c r="J166" s="33">
        <v>0</v>
      </c>
      <c r="K166" s="33">
        <v>0</v>
      </c>
      <c r="L166" s="33">
        <v>87805</v>
      </c>
      <c r="M166" s="33">
        <v>39512.199999999997</v>
      </c>
      <c r="N166" s="32" t="s">
        <v>56</v>
      </c>
      <c r="P166" s="34"/>
    </row>
    <row r="167" spans="1:16" ht="15" customHeight="1">
      <c r="A167" s="42"/>
      <c r="B167" s="49" t="s">
        <v>233</v>
      </c>
      <c r="C167" s="48" t="s">
        <v>204</v>
      </c>
      <c r="D167" s="50" t="s">
        <v>58</v>
      </c>
      <c r="E167" s="47">
        <v>1</v>
      </c>
      <c r="F167" s="33">
        <v>1039.1400000000001</v>
      </c>
      <c r="G167" s="33">
        <v>1039.0999999999999</v>
      </c>
      <c r="H167" s="33">
        <v>0</v>
      </c>
      <c r="I167" s="33">
        <v>0</v>
      </c>
      <c r="J167" s="33">
        <v>0</v>
      </c>
      <c r="K167" s="33">
        <v>0</v>
      </c>
      <c r="L167" s="33">
        <v>1039.0999999999999</v>
      </c>
      <c r="M167" s="33">
        <v>1039.0999999999999</v>
      </c>
      <c r="N167" s="32" t="s">
        <v>56</v>
      </c>
      <c r="P167" s="34"/>
    </row>
    <row r="168" spans="1:16" ht="15" customHeight="1">
      <c r="A168" s="43"/>
      <c r="B168" s="74" t="s">
        <v>239</v>
      </c>
      <c r="C168" s="75" t="s">
        <v>56</v>
      </c>
      <c r="D168" s="38" t="s">
        <v>56</v>
      </c>
      <c r="E168" s="54"/>
      <c r="F168" s="16"/>
      <c r="G168" s="16">
        <v>15107</v>
      </c>
      <c r="H168" s="16"/>
      <c r="I168" s="16">
        <v>145126</v>
      </c>
      <c r="J168" s="16"/>
      <c r="K168" s="16">
        <v>4556</v>
      </c>
      <c r="L168" s="35"/>
      <c r="M168" s="16">
        <v>164789</v>
      </c>
      <c r="N168" s="2" t="s">
        <v>56</v>
      </c>
      <c r="O168" t="str">
        <f>A162</f>
        <v>일위24호</v>
      </c>
      <c r="P168" s="34"/>
    </row>
    <row r="169" spans="1:16" ht="15" customHeight="1">
      <c r="A169" s="42" t="s">
        <v>306</v>
      </c>
      <c r="B169" s="49" t="s">
        <v>305</v>
      </c>
      <c r="C169" s="48"/>
      <c r="D169" s="50"/>
      <c r="E169" s="47"/>
      <c r="F169" s="33"/>
      <c r="G169" s="33"/>
      <c r="H169" s="33"/>
      <c r="I169" s="33"/>
      <c r="J169" s="33"/>
      <c r="K169" s="33"/>
      <c r="L169" s="33"/>
      <c r="M169" s="33"/>
      <c r="N169" s="32"/>
      <c r="P169" s="34"/>
    </row>
    <row r="170" spans="1:16" ht="15" customHeight="1">
      <c r="A170" s="42"/>
      <c r="B170" s="49" t="s">
        <v>55</v>
      </c>
      <c r="C170" s="48" t="s">
        <v>79</v>
      </c>
      <c r="D170" s="50" t="s">
        <v>86</v>
      </c>
      <c r="E170" s="47">
        <v>2.2000000000000002</v>
      </c>
      <c r="F170" s="33">
        <v>0</v>
      </c>
      <c r="G170" s="33">
        <v>0</v>
      </c>
      <c r="H170" s="33">
        <v>134516</v>
      </c>
      <c r="I170" s="33">
        <v>295935.2</v>
      </c>
      <c r="J170" s="33">
        <v>0</v>
      </c>
      <c r="K170" s="33">
        <v>0</v>
      </c>
      <c r="L170" s="33">
        <v>134516</v>
      </c>
      <c r="M170" s="33">
        <v>295935.2</v>
      </c>
      <c r="N170" s="32" t="s">
        <v>56</v>
      </c>
      <c r="P170" s="34"/>
    </row>
    <row r="171" spans="1:16" ht="15" customHeight="1">
      <c r="A171" s="42"/>
      <c r="B171" s="49" t="s">
        <v>55</v>
      </c>
      <c r="C171" s="48" t="s">
        <v>60</v>
      </c>
      <c r="D171" s="50" t="s">
        <v>86</v>
      </c>
      <c r="E171" s="47">
        <v>1.2</v>
      </c>
      <c r="F171" s="33">
        <v>0</v>
      </c>
      <c r="G171" s="33">
        <v>0</v>
      </c>
      <c r="H171" s="33">
        <v>87805</v>
      </c>
      <c r="I171" s="33">
        <v>105366</v>
      </c>
      <c r="J171" s="33">
        <v>0</v>
      </c>
      <c r="K171" s="33">
        <v>0</v>
      </c>
      <c r="L171" s="33">
        <v>87805</v>
      </c>
      <c r="M171" s="33">
        <v>105366</v>
      </c>
      <c r="N171" s="32" t="s">
        <v>56</v>
      </c>
      <c r="P171" s="34"/>
    </row>
    <row r="172" spans="1:16" ht="15" customHeight="1">
      <c r="A172" s="42"/>
      <c r="B172" s="49" t="s">
        <v>68</v>
      </c>
      <c r="C172" s="48" t="s">
        <v>303</v>
      </c>
      <c r="D172" s="50" t="s">
        <v>304</v>
      </c>
      <c r="E172" s="47">
        <v>0.7</v>
      </c>
      <c r="F172" s="33">
        <v>11000</v>
      </c>
      <c r="G172" s="33">
        <v>7700</v>
      </c>
      <c r="H172" s="33">
        <v>0</v>
      </c>
      <c r="I172" s="33">
        <v>0</v>
      </c>
      <c r="J172" s="33">
        <v>0</v>
      </c>
      <c r="K172" s="33">
        <v>0</v>
      </c>
      <c r="L172" s="33">
        <v>11000</v>
      </c>
      <c r="M172" s="33">
        <v>7700</v>
      </c>
      <c r="N172" s="32" t="s">
        <v>56</v>
      </c>
      <c r="P172" s="34"/>
    </row>
    <row r="173" spans="1:16" ht="15" customHeight="1">
      <c r="A173" s="42"/>
      <c r="B173" s="49" t="s">
        <v>181</v>
      </c>
      <c r="C173" s="48" t="s">
        <v>182</v>
      </c>
      <c r="D173" s="50" t="s">
        <v>92</v>
      </c>
      <c r="E173" s="47">
        <v>2.5</v>
      </c>
      <c r="F173" s="33">
        <v>9500</v>
      </c>
      <c r="G173" s="33">
        <v>23750</v>
      </c>
      <c r="H173" s="33">
        <v>0</v>
      </c>
      <c r="I173" s="33">
        <v>0</v>
      </c>
      <c r="J173" s="33">
        <v>0</v>
      </c>
      <c r="K173" s="33">
        <v>0</v>
      </c>
      <c r="L173" s="33">
        <v>9500</v>
      </c>
      <c r="M173" s="33">
        <v>23750</v>
      </c>
      <c r="N173" s="32" t="s">
        <v>56</v>
      </c>
      <c r="P173" s="34"/>
    </row>
    <row r="174" spans="1:16" ht="15" customHeight="1">
      <c r="A174" s="43"/>
      <c r="B174" s="74" t="s">
        <v>239</v>
      </c>
      <c r="C174" s="75" t="s">
        <v>56</v>
      </c>
      <c r="D174" s="38" t="s">
        <v>56</v>
      </c>
      <c r="E174" s="54"/>
      <c r="F174" s="16"/>
      <c r="G174" s="16">
        <v>31450</v>
      </c>
      <c r="H174" s="16"/>
      <c r="I174" s="16">
        <v>401301</v>
      </c>
      <c r="J174" s="16"/>
      <c r="K174" s="16">
        <v>0</v>
      </c>
      <c r="L174" s="35"/>
      <c r="M174" s="16">
        <v>432751</v>
      </c>
      <c r="N174" s="2" t="s">
        <v>56</v>
      </c>
      <c r="O174" t="str">
        <f>A169</f>
        <v>일위25호</v>
      </c>
      <c r="P174" s="34"/>
    </row>
    <row r="175" spans="1:16" ht="15" customHeight="1">
      <c r="A175" s="42" t="s">
        <v>313</v>
      </c>
      <c r="B175" s="49" t="s">
        <v>312</v>
      </c>
      <c r="C175" s="48"/>
      <c r="D175" s="50"/>
      <c r="E175" s="47"/>
      <c r="F175" s="33"/>
      <c r="G175" s="33"/>
      <c r="H175" s="33"/>
      <c r="I175" s="33"/>
      <c r="J175" s="33"/>
      <c r="K175" s="33"/>
      <c r="L175" s="33"/>
      <c r="M175" s="33"/>
      <c r="N175" s="32"/>
      <c r="P175" s="34"/>
    </row>
    <row r="176" spans="1:16" ht="15" customHeight="1">
      <c r="A176" s="42"/>
      <c r="B176" s="49" t="s">
        <v>310</v>
      </c>
      <c r="C176" s="48" t="s">
        <v>311</v>
      </c>
      <c r="D176" s="50" t="s">
        <v>95</v>
      </c>
      <c r="E176" s="47">
        <v>2.87E-2</v>
      </c>
      <c r="F176" s="33">
        <v>505520</v>
      </c>
      <c r="G176" s="33">
        <v>14508.4</v>
      </c>
      <c r="H176" s="33">
        <v>0</v>
      </c>
      <c r="I176" s="33">
        <v>0</v>
      </c>
      <c r="J176" s="33">
        <v>0</v>
      </c>
      <c r="K176" s="33">
        <v>0</v>
      </c>
      <c r="L176" s="33">
        <v>505520</v>
      </c>
      <c r="M176" s="33">
        <v>14508.4</v>
      </c>
      <c r="N176" s="32" t="s">
        <v>56</v>
      </c>
      <c r="P176" s="34"/>
    </row>
    <row r="177" spans="1:16" ht="15" customHeight="1">
      <c r="A177" s="42"/>
      <c r="B177" s="49" t="s">
        <v>222</v>
      </c>
      <c r="C177" s="48" t="s">
        <v>247</v>
      </c>
      <c r="D177" s="50" t="s">
        <v>92</v>
      </c>
      <c r="E177" s="47">
        <v>0.03</v>
      </c>
      <c r="F177" s="33">
        <v>861</v>
      </c>
      <c r="G177" s="33">
        <v>25.8</v>
      </c>
      <c r="H177" s="33">
        <v>0</v>
      </c>
      <c r="I177" s="33">
        <v>0</v>
      </c>
      <c r="J177" s="33">
        <v>0</v>
      </c>
      <c r="K177" s="33">
        <v>0</v>
      </c>
      <c r="L177" s="33">
        <v>861</v>
      </c>
      <c r="M177" s="33">
        <v>25.8</v>
      </c>
      <c r="N177" s="32" t="s">
        <v>56</v>
      </c>
      <c r="P177" s="34"/>
    </row>
    <row r="178" spans="1:16" ht="15" customHeight="1">
      <c r="A178" s="42"/>
      <c r="B178" s="49" t="s">
        <v>55</v>
      </c>
      <c r="C178" s="48" t="s">
        <v>223</v>
      </c>
      <c r="D178" s="50" t="s">
        <v>86</v>
      </c>
      <c r="E178" s="47">
        <v>7.4999999999999997E-2</v>
      </c>
      <c r="F178" s="33">
        <v>0</v>
      </c>
      <c r="G178" s="33">
        <v>0</v>
      </c>
      <c r="H178" s="33">
        <v>139327</v>
      </c>
      <c r="I178" s="33">
        <v>10449.5</v>
      </c>
      <c r="J178" s="33">
        <v>0</v>
      </c>
      <c r="K178" s="33">
        <v>0</v>
      </c>
      <c r="L178" s="33">
        <v>139327</v>
      </c>
      <c r="M178" s="33">
        <v>10449.5</v>
      </c>
      <c r="N178" s="32" t="s">
        <v>56</v>
      </c>
      <c r="P178" s="34"/>
    </row>
    <row r="179" spans="1:16" ht="15" customHeight="1">
      <c r="A179" s="42"/>
      <c r="B179" s="49" t="s">
        <v>55</v>
      </c>
      <c r="C179" s="48" t="s">
        <v>60</v>
      </c>
      <c r="D179" s="50" t="s">
        <v>86</v>
      </c>
      <c r="E179" s="47">
        <v>7.0000000000000001E-3</v>
      </c>
      <c r="F179" s="33">
        <v>0</v>
      </c>
      <c r="G179" s="33">
        <v>0</v>
      </c>
      <c r="H179" s="33">
        <v>87805</v>
      </c>
      <c r="I179" s="33">
        <v>614.6</v>
      </c>
      <c r="J179" s="33">
        <v>0</v>
      </c>
      <c r="K179" s="33">
        <v>0</v>
      </c>
      <c r="L179" s="33">
        <v>87805</v>
      </c>
      <c r="M179" s="33">
        <v>614.6</v>
      </c>
      <c r="N179" s="32" t="s">
        <v>56</v>
      </c>
      <c r="P179" s="34"/>
    </row>
    <row r="180" spans="1:16" ht="15" customHeight="1">
      <c r="A180" s="43"/>
      <c r="B180" s="74" t="s">
        <v>239</v>
      </c>
      <c r="C180" s="75" t="s">
        <v>56</v>
      </c>
      <c r="D180" s="38" t="s">
        <v>56</v>
      </c>
      <c r="E180" s="54"/>
      <c r="F180" s="16"/>
      <c r="G180" s="16">
        <v>14534</v>
      </c>
      <c r="H180" s="16"/>
      <c r="I180" s="16">
        <v>11064</v>
      </c>
      <c r="J180" s="16"/>
      <c r="K180" s="16">
        <v>0</v>
      </c>
      <c r="L180" s="35"/>
      <c r="M180" s="16">
        <v>25598</v>
      </c>
      <c r="N180" s="2" t="s">
        <v>56</v>
      </c>
      <c r="O180" t="str">
        <f>A175</f>
        <v>일위26호</v>
      </c>
      <c r="P180" s="34"/>
    </row>
    <row r="181" spans="1:16" ht="15" customHeight="1">
      <c r="A181" s="42" t="s">
        <v>320</v>
      </c>
      <c r="B181" s="49" t="s">
        <v>322</v>
      </c>
      <c r="C181" s="48"/>
      <c r="D181" s="50"/>
      <c r="E181" s="47"/>
      <c r="F181" s="33"/>
      <c r="G181" s="33"/>
      <c r="H181" s="33"/>
      <c r="I181" s="33"/>
      <c r="J181" s="33"/>
      <c r="K181" s="33"/>
      <c r="L181" s="33"/>
      <c r="M181" s="33"/>
      <c r="N181" s="32"/>
      <c r="P181" s="34"/>
    </row>
    <row r="182" spans="1:16" ht="15" customHeight="1">
      <c r="A182" s="42"/>
      <c r="B182" s="49" t="s">
        <v>317</v>
      </c>
      <c r="C182" s="48" t="s">
        <v>318</v>
      </c>
      <c r="D182" s="50" t="s">
        <v>50</v>
      </c>
      <c r="E182" s="47">
        <v>1.05</v>
      </c>
      <c r="F182" s="33">
        <v>7126</v>
      </c>
      <c r="G182" s="33">
        <v>7482.3</v>
      </c>
      <c r="H182" s="33">
        <v>0</v>
      </c>
      <c r="I182" s="33">
        <v>0</v>
      </c>
      <c r="J182" s="33">
        <v>0</v>
      </c>
      <c r="K182" s="33">
        <v>0</v>
      </c>
      <c r="L182" s="33">
        <v>7126</v>
      </c>
      <c r="M182" s="33">
        <v>7482.3</v>
      </c>
      <c r="N182" s="32" t="s">
        <v>56</v>
      </c>
      <c r="P182" s="34"/>
    </row>
    <row r="183" spans="1:16" ht="15" customHeight="1">
      <c r="A183" s="42"/>
      <c r="B183" s="49" t="s">
        <v>222</v>
      </c>
      <c r="C183" s="48" t="s">
        <v>247</v>
      </c>
      <c r="D183" s="50" t="s">
        <v>92</v>
      </c>
      <c r="E183" s="47">
        <v>0.04</v>
      </c>
      <c r="F183" s="33">
        <v>861</v>
      </c>
      <c r="G183" s="33">
        <v>34.4</v>
      </c>
      <c r="H183" s="33">
        <v>0</v>
      </c>
      <c r="I183" s="33">
        <v>0</v>
      </c>
      <c r="J183" s="33">
        <v>0</v>
      </c>
      <c r="K183" s="33">
        <v>0</v>
      </c>
      <c r="L183" s="33">
        <v>861</v>
      </c>
      <c r="M183" s="33">
        <v>34.4</v>
      </c>
      <c r="N183" s="32" t="s">
        <v>56</v>
      </c>
      <c r="P183" s="34"/>
    </row>
    <row r="184" spans="1:16" ht="15" customHeight="1">
      <c r="A184" s="42"/>
      <c r="B184" s="49" t="s">
        <v>55</v>
      </c>
      <c r="C184" s="48" t="s">
        <v>223</v>
      </c>
      <c r="D184" s="50" t="s">
        <v>86</v>
      </c>
      <c r="E184" s="47">
        <v>0.06</v>
      </c>
      <c r="F184" s="33">
        <v>0</v>
      </c>
      <c r="G184" s="33">
        <v>0</v>
      </c>
      <c r="H184" s="33">
        <v>139327</v>
      </c>
      <c r="I184" s="33">
        <v>8359.6</v>
      </c>
      <c r="J184" s="33">
        <v>0</v>
      </c>
      <c r="K184" s="33">
        <v>0</v>
      </c>
      <c r="L184" s="33">
        <v>139327</v>
      </c>
      <c r="M184" s="33">
        <v>8359.6</v>
      </c>
      <c r="N184" s="32" t="s">
        <v>56</v>
      </c>
      <c r="P184" s="34"/>
    </row>
    <row r="185" spans="1:16" ht="15" customHeight="1">
      <c r="A185" s="42"/>
      <c r="B185" s="49" t="s">
        <v>55</v>
      </c>
      <c r="C185" s="48" t="s">
        <v>60</v>
      </c>
      <c r="D185" s="50" t="s">
        <v>86</v>
      </c>
      <c r="E185" s="47">
        <v>6.0000000000000001E-3</v>
      </c>
      <c r="F185" s="33">
        <v>0</v>
      </c>
      <c r="G185" s="33">
        <v>0</v>
      </c>
      <c r="H185" s="33">
        <v>87805</v>
      </c>
      <c r="I185" s="33">
        <v>526.79999999999995</v>
      </c>
      <c r="J185" s="33">
        <v>0</v>
      </c>
      <c r="K185" s="33">
        <v>0</v>
      </c>
      <c r="L185" s="33">
        <v>87805</v>
      </c>
      <c r="M185" s="33">
        <v>526.79999999999995</v>
      </c>
      <c r="N185" s="32" t="s">
        <v>56</v>
      </c>
      <c r="P185" s="34"/>
    </row>
    <row r="186" spans="1:16" ht="15" customHeight="1">
      <c r="A186" s="43"/>
      <c r="B186" s="74" t="s">
        <v>321</v>
      </c>
      <c r="C186" s="75" t="s">
        <v>319</v>
      </c>
      <c r="D186" s="38" t="s">
        <v>58</v>
      </c>
      <c r="E186" s="54">
        <v>1</v>
      </c>
      <c r="F186" s="16">
        <v>177.72</v>
      </c>
      <c r="G186" s="16">
        <v>177.7</v>
      </c>
      <c r="H186" s="16">
        <v>0</v>
      </c>
      <c r="I186" s="16">
        <v>0</v>
      </c>
      <c r="J186" s="16">
        <v>0</v>
      </c>
      <c r="K186" s="16">
        <v>0</v>
      </c>
      <c r="L186" s="35">
        <v>177.7</v>
      </c>
      <c r="M186" s="16">
        <v>177.7</v>
      </c>
      <c r="N186" s="2" t="s">
        <v>56</v>
      </c>
      <c r="O186" t="str">
        <f>A181</f>
        <v>일위27호</v>
      </c>
      <c r="P186" s="34"/>
    </row>
    <row r="187" spans="1:16" ht="15" customHeight="1">
      <c r="A187" s="42" t="s">
        <v>334</v>
      </c>
      <c r="B187" s="49" t="s">
        <v>337</v>
      </c>
      <c r="C187" s="48"/>
      <c r="D187" s="50"/>
      <c r="E187" s="47"/>
      <c r="F187" s="33"/>
      <c r="G187" s="33"/>
      <c r="H187" s="33"/>
      <c r="I187" s="33"/>
      <c r="J187" s="33"/>
      <c r="K187" s="33"/>
      <c r="L187" s="33"/>
      <c r="M187" s="33"/>
      <c r="N187" s="32"/>
      <c r="P187" s="34"/>
    </row>
    <row r="188" spans="1:16" ht="15" customHeight="1">
      <c r="A188" s="42"/>
      <c r="B188" s="92" t="s">
        <v>329</v>
      </c>
      <c r="C188" s="93" t="s">
        <v>345</v>
      </c>
      <c r="D188" s="50" t="s">
        <v>50</v>
      </c>
      <c r="E188" s="47">
        <v>1.1000000000000001</v>
      </c>
      <c r="F188" s="33">
        <v>31000</v>
      </c>
      <c r="G188" s="33">
        <f>E188*F188</f>
        <v>34100</v>
      </c>
      <c r="H188" s="33">
        <v>0</v>
      </c>
      <c r="I188" s="33">
        <v>0</v>
      </c>
      <c r="J188" s="33">
        <v>0</v>
      </c>
      <c r="K188" s="33">
        <v>0</v>
      </c>
      <c r="L188" s="33">
        <f>SUM(F188,H188,J188)</f>
        <v>31000</v>
      </c>
      <c r="M188" s="33">
        <f>SUM(G188,I188,K188)</f>
        <v>34100</v>
      </c>
      <c r="N188" s="91" t="s">
        <v>344</v>
      </c>
      <c r="P188" s="34"/>
    </row>
    <row r="189" spans="1:16" ht="15" customHeight="1">
      <c r="A189" s="42"/>
      <c r="B189" s="92" t="s">
        <v>330</v>
      </c>
      <c r="C189" s="93" t="s">
        <v>331</v>
      </c>
      <c r="D189" s="50" t="s">
        <v>92</v>
      </c>
      <c r="E189" s="47">
        <v>16.059999999999999</v>
      </c>
      <c r="F189" s="33">
        <v>123</v>
      </c>
      <c r="G189" s="33">
        <f t="shared" ref="G189:G192" si="3">E189*F189</f>
        <v>1975.3799999999999</v>
      </c>
      <c r="H189" s="33">
        <v>0</v>
      </c>
      <c r="I189" s="33">
        <v>0</v>
      </c>
      <c r="J189" s="33">
        <v>0</v>
      </c>
      <c r="K189" s="33">
        <v>0</v>
      </c>
      <c r="L189" s="33">
        <f t="shared" ref="L189:L192" si="4">SUM(F189,H189,J189)</f>
        <v>123</v>
      </c>
      <c r="M189" s="33">
        <f t="shared" ref="M189:M193" si="5">SUM(G189,I189,K189)</f>
        <v>1975.3799999999999</v>
      </c>
      <c r="N189" s="32"/>
      <c r="P189" s="34"/>
    </row>
    <row r="190" spans="1:16" ht="15" customHeight="1">
      <c r="A190" s="42"/>
      <c r="B190" s="92" t="s">
        <v>332</v>
      </c>
      <c r="C190" s="93" t="s">
        <v>331</v>
      </c>
      <c r="D190" s="50" t="s">
        <v>95</v>
      </c>
      <c r="E190" s="47">
        <v>3.4599999999999999E-2</v>
      </c>
      <c r="F190" s="33">
        <v>26000</v>
      </c>
      <c r="G190" s="33">
        <f t="shared" si="3"/>
        <v>899.6</v>
      </c>
      <c r="H190" s="33">
        <v>0</v>
      </c>
      <c r="I190" s="33">
        <v>0</v>
      </c>
      <c r="J190" s="33">
        <v>0</v>
      </c>
      <c r="K190" s="33">
        <v>0</v>
      </c>
      <c r="L190" s="33">
        <f t="shared" si="4"/>
        <v>26000</v>
      </c>
      <c r="M190" s="33">
        <f t="shared" si="5"/>
        <v>899.6</v>
      </c>
      <c r="N190" s="32"/>
      <c r="P190" s="34"/>
    </row>
    <row r="191" spans="1:16" ht="15" customHeight="1">
      <c r="A191" s="42"/>
      <c r="B191" s="92" t="s">
        <v>55</v>
      </c>
      <c r="C191" s="93" t="s">
        <v>333</v>
      </c>
      <c r="D191" s="50" t="s">
        <v>86</v>
      </c>
      <c r="E191" s="47">
        <v>0.4</v>
      </c>
      <c r="F191" s="33">
        <v>0</v>
      </c>
      <c r="G191" s="33">
        <f t="shared" si="3"/>
        <v>0</v>
      </c>
      <c r="H191" s="33">
        <v>138838</v>
      </c>
      <c r="I191" s="33">
        <v>55535.199999999997</v>
      </c>
      <c r="J191" s="33">
        <v>0</v>
      </c>
      <c r="K191" s="33">
        <v>0</v>
      </c>
      <c r="L191" s="33">
        <f t="shared" si="4"/>
        <v>138838</v>
      </c>
      <c r="M191" s="33">
        <f t="shared" si="5"/>
        <v>55535.199999999997</v>
      </c>
      <c r="N191" s="32" t="s">
        <v>56</v>
      </c>
      <c r="P191" s="34"/>
    </row>
    <row r="192" spans="1:16" ht="15" customHeight="1">
      <c r="A192" s="42"/>
      <c r="B192" s="92" t="s">
        <v>55</v>
      </c>
      <c r="C192" s="93" t="s">
        <v>60</v>
      </c>
      <c r="D192" s="50" t="s">
        <v>86</v>
      </c>
      <c r="E192" s="47">
        <v>0.2</v>
      </c>
      <c r="F192" s="33">
        <v>0</v>
      </c>
      <c r="G192" s="33">
        <f t="shared" si="3"/>
        <v>0</v>
      </c>
      <c r="H192" s="33">
        <v>87805</v>
      </c>
      <c r="I192" s="33">
        <v>17561</v>
      </c>
      <c r="J192" s="33">
        <v>0</v>
      </c>
      <c r="K192" s="33">
        <v>0</v>
      </c>
      <c r="L192" s="33">
        <f t="shared" si="4"/>
        <v>87805</v>
      </c>
      <c r="M192" s="33">
        <f t="shared" si="5"/>
        <v>17561</v>
      </c>
      <c r="N192" s="32" t="s">
        <v>56</v>
      </c>
      <c r="P192" s="34"/>
    </row>
    <row r="193" spans="1:16" ht="15" customHeight="1">
      <c r="A193" s="43"/>
      <c r="B193" s="94" t="s">
        <v>346</v>
      </c>
      <c r="C193" s="95" t="s">
        <v>56</v>
      </c>
      <c r="D193" s="38" t="s">
        <v>56</v>
      </c>
      <c r="E193" s="54"/>
      <c r="F193" s="16"/>
      <c r="G193" s="16">
        <f>SUM(G188:G192)</f>
        <v>36974.979999999996</v>
      </c>
      <c r="H193" s="16"/>
      <c r="I193" s="16">
        <v>73096</v>
      </c>
      <c r="J193" s="16"/>
      <c r="K193" s="16">
        <v>0</v>
      </c>
      <c r="L193" s="35"/>
      <c r="M193" s="16">
        <f t="shared" si="5"/>
        <v>110070.98</v>
      </c>
      <c r="N193" s="2" t="s">
        <v>56</v>
      </c>
      <c r="O193" t="str">
        <f>A187</f>
        <v>일위28호</v>
      </c>
      <c r="P193" s="34"/>
    </row>
    <row r="194" spans="1:16" ht="15" customHeight="1">
      <c r="A194" s="42" t="s">
        <v>335</v>
      </c>
      <c r="B194" s="92" t="s">
        <v>347</v>
      </c>
      <c r="C194" s="93"/>
      <c r="D194" s="50"/>
      <c r="E194" s="47"/>
      <c r="F194" s="33"/>
      <c r="G194" s="33"/>
      <c r="H194" s="33"/>
      <c r="I194" s="33"/>
      <c r="J194" s="33"/>
      <c r="K194" s="33"/>
      <c r="L194" s="33"/>
      <c r="M194" s="33"/>
      <c r="N194" s="32"/>
      <c r="P194" s="34"/>
    </row>
    <row r="195" spans="1:16" ht="15" customHeight="1">
      <c r="A195" s="42"/>
      <c r="B195" s="92" t="s">
        <v>329</v>
      </c>
      <c r="C195" s="93" t="s">
        <v>348</v>
      </c>
      <c r="D195" s="50" t="s">
        <v>50</v>
      </c>
      <c r="E195" s="47">
        <v>1.1000000000000001</v>
      </c>
      <c r="F195" s="33">
        <f>31000*3*0.8</f>
        <v>74400</v>
      </c>
      <c r="G195" s="33">
        <f>E195*F195</f>
        <v>81840</v>
      </c>
      <c r="H195" s="33">
        <v>0</v>
      </c>
      <c r="I195" s="33">
        <v>0</v>
      </c>
      <c r="J195" s="33">
        <v>0</v>
      </c>
      <c r="K195" s="33">
        <v>0</v>
      </c>
      <c r="L195" s="33">
        <f>SUM(F195,H195,J195)</f>
        <v>74400</v>
      </c>
      <c r="M195" s="33">
        <f>SUM(G195,I195,K195)</f>
        <v>81840</v>
      </c>
      <c r="N195" s="91" t="s">
        <v>344</v>
      </c>
      <c r="P195" s="34"/>
    </row>
    <row r="196" spans="1:16" ht="15" customHeight="1">
      <c r="A196" s="42"/>
      <c r="B196" s="92" t="s">
        <v>330</v>
      </c>
      <c r="C196" s="93" t="s">
        <v>331</v>
      </c>
      <c r="D196" s="50" t="s">
        <v>92</v>
      </c>
      <c r="E196" s="47">
        <v>16.059999999999999</v>
      </c>
      <c r="F196" s="33">
        <v>123</v>
      </c>
      <c r="G196" s="33">
        <f t="shared" ref="G196:G199" si="6">E196*F196</f>
        <v>1975.3799999999999</v>
      </c>
      <c r="H196" s="33">
        <v>0</v>
      </c>
      <c r="I196" s="33">
        <v>0</v>
      </c>
      <c r="J196" s="33">
        <v>0</v>
      </c>
      <c r="K196" s="33">
        <v>0</v>
      </c>
      <c r="L196" s="33">
        <f t="shared" ref="L196:L199" si="7">SUM(F196,H196,J196)</f>
        <v>123</v>
      </c>
      <c r="M196" s="33">
        <f t="shared" ref="M196:M200" si="8">SUM(G196,I196,K196)</f>
        <v>1975.3799999999999</v>
      </c>
      <c r="N196" s="32"/>
      <c r="P196" s="34"/>
    </row>
    <row r="197" spans="1:16" ht="15" customHeight="1">
      <c r="A197" s="42"/>
      <c r="B197" s="92" t="s">
        <v>332</v>
      </c>
      <c r="C197" s="93" t="s">
        <v>331</v>
      </c>
      <c r="D197" s="50" t="s">
        <v>95</v>
      </c>
      <c r="E197" s="47">
        <v>3.4599999999999999E-2</v>
      </c>
      <c r="F197" s="33">
        <v>26000</v>
      </c>
      <c r="G197" s="33">
        <f t="shared" si="6"/>
        <v>899.6</v>
      </c>
      <c r="H197" s="33">
        <v>0</v>
      </c>
      <c r="I197" s="33">
        <v>0</v>
      </c>
      <c r="J197" s="33">
        <v>0</v>
      </c>
      <c r="K197" s="33">
        <v>0</v>
      </c>
      <c r="L197" s="33">
        <f t="shared" si="7"/>
        <v>26000</v>
      </c>
      <c r="M197" s="33">
        <f t="shared" si="8"/>
        <v>899.6</v>
      </c>
      <c r="N197" s="32"/>
      <c r="P197" s="34"/>
    </row>
    <row r="198" spans="1:16" ht="15" customHeight="1">
      <c r="A198" s="42"/>
      <c r="B198" s="92" t="s">
        <v>55</v>
      </c>
      <c r="C198" s="93" t="s">
        <v>333</v>
      </c>
      <c r="D198" s="50" t="s">
        <v>86</v>
      </c>
      <c r="E198" s="47">
        <v>0.4</v>
      </c>
      <c r="F198" s="33">
        <v>0</v>
      </c>
      <c r="G198" s="33">
        <f t="shared" si="6"/>
        <v>0</v>
      </c>
      <c r="H198" s="33">
        <v>138838</v>
      </c>
      <c r="I198" s="33">
        <v>55535.199999999997</v>
      </c>
      <c r="J198" s="33">
        <v>0</v>
      </c>
      <c r="K198" s="33">
        <v>0</v>
      </c>
      <c r="L198" s="33">
        <f t="shared" si="7"/>
        <v>138838</v>
      </c>
      <c r="M198" s="33">
        <f t="shared" si="8"/>
        <v>55535.199999999997</v>
      </c>
      <c r="N198" s="32" t="s">
        <v>56</v>
      </c>
      <c r="P198" s="34"/>
    </row>
    <row r="199" spans="1:16" ht="15" customHeight="1">
      <c r="A199" s="42"/>
      <c r="B199" s="92" t="s">
        <v>55</v>
      </c>
      <c r="C199" s="93" t="s">
        <v>60</v>
      </c>
      <c r="D199" s="50" t="s">
        <v>86</v>
      </c>
      <c r="E199" s="47">
        <v>0.2</v>
      </c>
      <c r="F199" s="33">
        <v>0</v>
      </c>
      <c r="G199" s="33">
        <f t="shared" si="6"/>
        <v>0</v>
      </c>
      <c r="H199" s="33">
        <v>87805</v>
      </c>
      <c r="I199" s="33">
        <v>17561</v>
      </c>
      <c r="J199" s="33">
        <v>0</v>
      </c>
      <c r="K199" s="33">
        <v>0</v>
      </c>
      <c r="L199" s="33">
        <f t="shared" si="7"/>
        <v>87805</v>
      </c>
      <c r="M199" s="33">
        <f t="shared" si="8"/>
        <v>17561</v>
      </c>
      <c r="N199" s="32" t="s">
        <v>56</v>
      </c>
      <c r="P199" s="34"/>
    </row>
    <row r="200" spans="1:16" ht="15" customHeight="1">
      <c r="A200" s="43"/>
      <c r="B200" s="94" t="s">
        <v>346</v>
      </c>
      <c r="C200" s="95" t="s">
        <v>56</v>
      </c>
      <c r="D200" s="38" t="s">
        <v>56</v>
      </c>
      <c r="E200" s="54"/>
      <c r="F200" s="16"/>
      <c r="G200" s="16">
        <f>SUM(G195:G199)</f>
        <v>84714.98000000001</v>
      </c>
      <c r="H200" s="16"/>
      <c r="I200" s="16">
        <v>73096</v>
      </c>
      <c r="J200" s="16"/>
      <c r="K200" s="16">
        <v>0</v>
      </c>
      <c r="L200" s="35"/>
      <c r="M200" s="16">
        <f t="shared" si="8"/>
        <v>157810.98000000001</v>
      </c>
      <c r="N200" s="2" t="s">
        <v>56</v>
      </c>
      <c r="O200" t="str">
        <f>A194</f>
        <v>일위29호</v>
      </c>
      <c r="P200" s="34"/>
    </row>
    <row r="201" spans="1:16" ht="15" customHeight="1">
      <c r="A201" s="42" t="s">
        <v>336</v>
      </c>
      <c r="B201" s="92" t="s">
        <v>349</v>
      </c>
      <c r="C201" s="93"/>
      <c r="D201" s="50"/>
      <c r="E201" s="47"/>
      <c r="F201" s="33"/>
      <c r="G201" s="33"/>
      <c r="H201" s="33"/>
      <c r="I201" s="33"/>
      <c r="J201" s="33"/>
      <c r="K201" s="33"/>
      <c r="L201" s="33"/>
      <c r="M201" s="33"/>
      <c r="N201" s="32"/>
      <c r="P201" s="34"/>
    </row>
    <row r="202" spans="1:16" ht="15" customHeight="1">
      <c r="A202" s="42"/>
      <c r="B202" s="92" t="s">
        <v>329</v>
      </c>
      <c r="C202" s="93" t="s">
        <v>350</v>
      </c>
      <c r="D202" s="50" t="s">
        <v>50</v>
      </c>
      <c r="E202" s="47">
        <v>1.1000000000000001</v>
      </c>
      <c r="F202" s="33">
        <f>31000*5*0.8</f>
        <v>124000</v>
      </c>
      <c r="G202" s="33">
        <f>E202*F202</f>
        <v>136400</v>
      </c>
      <c r="H202" s="33">
        <v>0</v>
      </c>
      <c r="I202" s="33">
        <v>0</v>
      </c>
      <c r="J202" s="33">
        <v>0</v>
      </c>
      <c r="K202" s="33">
        <v>0</v>
      </c>
      <c r="L202" s="33">
        <f>SUM(F202,H202,J202)</f>
        <v>124000</v>
      </c>
      <c r="M202" s="33">
        <f>SUM(G202,I202,K202)</f>
        <v>136400</v>
      </c>
      <c r="N202" s="91" t="s">
        <v>344</v>
      </c>
      <c r="P202" s="34"/>
    </row>
    <row r="203" spans="1:16" ht="15" customHeight="1">
      <c r="A203" s="42"/>
      <c r="B203" s="92" t="s">
        <v>330</v>
      </c>
      <c r="C203" s="93" t="s">
        <v>331</v>
      </c>
      <c r="D203" s="50" t="s">
        <v>92</v>
      </c>
      <c r="E203" s="47">
        <v>16.059999999999999</v>
      </c>
      <c r="F203" s="33">
        <v>123</v>
      </c>
      <c r="G203" s="33">
        <f t="shared" ref="G203:G206" si="9">E203*F203</f>
        <v>1975.3799999999999</v>
      </c>
      <c r="H203" s="33">
        <v>0</v>
      </c>
      <c r="I203" s="33">
        <v>0</v>
      </c>
      <c r="J203" s="33">
        <v>0</v>
      </c>
      <c r="K203" s="33">
        <v>0</v>
      </c>
      <c r="L203" s="33">
        <f t="shared" ref="L203:L206" si="10">SUM(F203,H203,J203)</f>
        <v>123</v>
      </c>
      <c r="M203" s="33">
        <f t="shared" ref="M203:M207" si="11">SUM(G203,I203,K203)</f>
        <v>1975.3799999999999</v>
      </c>
      <c r="N203" s="32"/>
      <c r="P203" s="34"/>
    </row>
    <row r="204" spans="1:16" ht="15" customHeight="1">
      <c r="A204" s="42"/>
      <c r="B204" s="49" t="s">
        <v>332</v>
      </c>
      <c r="C204" s="48" t="s">
        <v>331</v>
      </c>
      <c r="D204" s="50" t="s">
        <v>95</v>
      </c>
      <c r="E204" s="47">
        <v>3.4599999999999999E-2</v>
      </c>
      <c r="F204" s="33">
        <v>26000</v>
      </c>
      <c r="G204" s="33">
        <f t="shared" si="9"/>
        <v>899.6</v>
      </c>
      <c r="H204" s="33">
        <v>0</v>
      </c>
      <c r="I204" s="33">
        <v>0</v>
      </c>
      <c r="J204" s="33">
        <v>0</v>
      </c>
      <c r="K204" s="33">
        <v>0</v>
      </c>
      <c r="L204" s="33">
        <f t="shared" si="10"/>
        <v>26000</v>
      </c>
      <c r="M204" s="33">
        <f t="shared" si="11"/>
        <v>899.6</v>
      </c>
      <c r="N204" s="32"/>
      <c r="P204" s="34"/>
    </row>
    <row r="205" spans="1:16" s="34" customFormat="1" ht="15" customHeight="1">
      <c r="A205" s="42"/>
      <c r="B205" s="49" t="s">
        <v>55</v>
      </c>
      <c r="C205" s="48" t="s">
        <v>333</v>
      </c>
      <c r="D205" s="50" t="s">
        <v>86</v>
      </c>
      <c r="E205" s="47">
        <v>0.4</v>
      </c>
      <c r="F205" s="33">
        <v>0</v>
      </c>
      <c r="G205" s="33">
        <f t="shared" si="9"/>
        <v>0</v>
      </c>
      <c r="H205" s="33">
        <v>138838</v>
      </c>
      <c r="I205" s="33">
        <v>55535.199999999997</v>
      </c>
      <c r="J205" s="33">
        <v>0</v>
      </c>
      <c r="K205" s="33">
        <v>0</v>
      </c>
      <c r="L205" s="33">
        <f t="shared" si="10"/>
        <v>138838</v>
      </c>
      <c r="M205" s="33">
        <f t="shared" si="11"/>
        <v>55535.199999999997</v>
      </c>
      <c r="N205" s="32" t="s">
        <v>56</v>
      </c>
      <c r="O205"/>
    </row>
    <row r="206" spans="1:16" s="34" customFormat="1" ht="15" customHeight="1">
      <c r="A206" s="42"/>
      <c r="B206" s="49" t="s">
        <v>55</v>
      </c>
      <c r="C206" s="48" t="s">
        <v>60</v>
      </c>
      <c r="D206" s="50" t="s">
        <v>86</v>
      </c>
      <c r="E206" s="47">
        <v>0.2</v>
      </c>
      <c r="F206" s="33">
        <v>0</v>
      </c>
      <c r="G206" s="33">
        <f t="shared" si="9"/>
        <v>0</v>
      </c>
      <c r="H206" s="33">
        <v>87805</v>
      </c>
      <c r="I206" s="33">
        <v>17561</v>
      </c>
      <c r="J206" s="33">
        <v>0</v>
      </c>
      <c r="K206" s="33">
        <v>0</v>
      </c>
      <c r="L206" s="33">
        <f t="shared" si="10"/>
        <v>87805</v>
      </c>
      <c r="M206" s="33">
        <f t="shared" si="11"/>
        <v>17561</v>
      </c>
      <c r="N206" s="32" t="s">
        <v>56</v>
      </c>
      <c r="O206"/>
    </row>
    <row r="207" spans="1:16" s="34" customFormat="1" ht="15" customHeight="1">
      <c r="A207" s="43"/>
      <c r="B207" s="74" t="s">
        <v>239</v>
      </c>
      <c r="C207" s="75" t="s">
        <v>56</v>
      </c>
      <c r="D207" s="38" t="s">
        <v>56</v>
      </c>
      <c r="E207" s="54"/>
      <c r="F207" s="16"/>
      <c r="G207" s="16">
        <f>SUM(G202:G206)</f>
        <v>139274.98000000001</v>
      </c>
      <c r="H207" s="16"/>
      <c r="I207" s="16">
        <v>73096</v>
      </c>
      <c r="J207" s="16"/>
      <c r="K207" s="16">
        <v>0</v>
      </c>
      <c r="L207" s="35"/>
      <c r="M207" s="16">
        <f t="shared" si="11"/>
        <v>212370.98</v>
      </c>
      <c r="N207" s="2" t="s">
        <v>56</v>
      </c>
      <c r="O207" t="str">
        <f>A201</f>
        <v>일위30호</v>
      </c>
    </row>
    <row r="208" spans="1:16" ht="15" customHeight="1">
      <c r="A208" s="42"/>
      <c r="B208" s="49"/>
      <c r="C208" s="48"/>
      <c r="D208" s="50"/>
      <c r="E208" s="47"/>
      <c r="F208" s="33"/>
      <c r="G208" s="33"/>
      <c r="H208" s="33"/>
      <c r="I208" s="33"/>
      <c r="J208" s="33"/>
      <c r="K208" s="33"/>
      <c r="L208" s="33"/>
      <c r="M208" s="33"/>
      <c r="N208" s="32"/>
      <c r="P208" s="34"/>
    </row>
    <row r="209" spans="1:16" ht="15" customHeight="1">
      <c r="A209" s="42"/>
      <c r="B209" s="49"/>
      <c r="C209" s="48"/>
      <c r="D209" s="50"/>
      <c r="E209" s="47"/>
      <c r="F209" s="33"/>
      <c r="G209" s="33"/>
      <c r="H209" s="33"/>
      <c r="I209" s="33"/>
      <c r="J209" s="33"/>
      <c r="K209" s="33"/>
      <c r="L209" s="33"/>
      <c r="M209" s="33"/>
      <c r="N209" s="32"/>
      <c r="P209" s="34"/>
    </row>
    <row r="210" spans="1:16" ht="15" customHeight="1">
      <c r="A210" s="42"/>
      <c r="B210" s="49"/>
      <c r="C210" s="48"/>
      <c r="D210" s="50"/>
      <c r="E210" s="47"/>
      <c r="F210" s="33"/>
      <c r="G210" s="33"/>
      <c r="H210" s="33"/>
      <c r="I210" s="33"/>
      <c r="J210" s="33"/>
      <c r="K210" s="33"/>
      <c r="L210" s="33"/>
      <c r="M210" s="33"/>
      <c r="N210" s="32"/>
      <c r="P210" s="34"/>
    </row>
    <row r="211" spans="1:16" ht="15" customHeight="1">
      <c r="A211" s="42"/>
      <c r="B211" s="49"/>
      <c r="C211" s="48"/>
      <c r="D211" s="50"/>
      <c r="E211" s="47"/>
      <c r="F211" s="33"/>
      <c r="G211" s="33"/>
      <c r="H211" s="33"/>
      <c r="I211" s="33"/>
      <c r="J211" s="33"/>
      <c r="K211" s="33"/>
      <c r="L211" s="33"/>
      <c r="M211" s="33"/>
      <c r="N211" s="32"/>
      <c r="P211" s="34"/>
    </row>
    <row r="212" spans="1:16" ht="15" customHeight="1">
      <c r="A212" s="42"/>
      <c r="B212" s="49"/>
      <c r="C212" s="48"/>
      <c r="D212" s="50"/>
      <c r="E212" s="47"/>
      <c r="F212" s="33"/>
      <c r="G212" s="33"/>
      <c r="H212" s="33"/>
      <c r="I212" s="33"/>
      <c r="J212" s="33"/>
      <c r="K212" s="33"/>
      <c r="L212" s="33"/>
      <c r="M212" s="33"/>
      <c r="N212" s="32"/>
      <c r="P212" s="34"/>
    </row>
    <row r="213" spans="1:16" ht="15" customHeight="1">
      <c r="A213" s="42"/>
      <c r="B213" s="49"/>
      <c r="C213" s="48"/>
      <c r="D213" s="50"/>
      <c r="E213" s="47"/>
      <c r="F213" s="33"/>
      <c r="G213" s="33"/>
      <c r="H213" s="33"/>
      <c r="I213" s="33"/>
      <c r="J213" s="33"/>
      <c r="K213" s="33"/>
      <c r="L213" s="33"/>
      <c r="M213" s="33"/>
      <c r="N213" s="32"/>
      <c r="P213" s="34"/>
    </row>
    <row r="214" spans="1:16" ht="15" customHeight="1">
      <c r="A214" s="42"/>
      <c r="B214" s="49"/>
      <c r="C214" s="48"/>
      <c r="D214" s="50"/>
      <c r="E214" s="47"/>
      <c r="F214" s="33"/>
      <c r="G214" s="33"/>
      <c r="H214" s="33"/>
      <c r="I214" s="33"/>
      <c r="J214" s="33"/>
      <c r="K214" s="33"/>
      <c r="L214" s="33"/>
      <c r="M214" s="33"/>
      <c r="N214" s="32"/>
      <c r="P214" s="34"/>
    </row>
    <row r="215" spans="1:16" ht="15" customHeight="1">
      <c r="A215" s="42"/>
      <c r="B215" s="49"/>
      <c r="C215" s="48"/>
      <c r="D215" s="50"/>
      <c r="E215" s="47"/>
      <c r="F215" s="33"/>
      <c r="G215" s="33"/>
      <c r="H215" s="33"/>
      <c r="I215" s="33"/>
      <c r="J215" s="33"/>
      <c r="K215" s="33"/>
      <c r="L215" s="33"/>
      <c r="M215" s="33"/>
      <c r="N215" s="32"/>
      <c r="P215" s="34"/>
    </row>
    <row r="216" spans="1:16" ht="15" customHeight="1">
      <c r="A216" s="42"/>
      <c r="B216" s="49"/>
      <c r="C216" s="48"/>
      <c r="D216" s="50"/>
      <c r="E216" s="47"/>
      <c r="F216" s="33"/>
      <c r="G216" s="33"/>
      <c r="H216" s="33"/>
      <c r="I216" s="33"/>
      <c r="J216" s="33"/>
      <c r="K216" s="33"/>
      <c r="L216" s="33"/>
      <c r="M216" s="33"/>
      <c r="N216" s="32"/>
      <c r="P216" s="34"/>
    </row>
    <row r="217" spans="1:16" ht="15" customHeight="1">
      <c r="A217" s="42"/>
      <c r="B217" s="49"/>
      <c r="C217" s="48"/>
      <c r="D217" s="50"/>
      <c r="E217" s="47"/>
      <c r="F217" s="33"/>
      <c r="G217" s="33"/>
      <c r="H217" s="33"/>
      <c r="I217" s="33"/>
      <c r="J217" s="33"/>
      <c r="K217" s="33"/>
      <c r="L217" s="33"/>
      <c r="M217" s="33"/>
      <c r="N217" s="32"/>
      <c r="P217" s="34"/>
    </row>
    <row r="218" spans="1:16" ht="15" customHeight="1">
      <c r="A218" s="42"/>
      <c r="B218" s="49"/>
      <c r="C218" s="48"/>
      <c r="D218" s="50"/>
      <c r="E218" s="47"/>
      <c r="F218" s="33"/>
      <c r="G218" s="33"/>
      <c r="H218" s="33"/>
      <c r="I218" s="33"/>
      <c r="J218" s="33"/>
      <c r="K218" s="33"/>
      <c r="L218" s="33"/>
      <c r="M218" s="33"/>
      <c r="N218" s="32"/>
      <c r="P218" s="34"/>
    </row>
    <row r="219" spans="1:16" ht="15" customHeight="1">
      <c r="A219" s="42"/>
      <c r="B219" s="49"/>
      <c r="C219" s="48"/>
      <c r="D219" s="50"/>
      <c r="E219" s="47"/>
      <c r="F219" s="33"/>
      <c r="G219" s="33"/>
      <c r="H219" s="33"/>
      <c r="I219" s="33"/>
      <c r="J219" s="33"/>
      <c r="K219" s="33"/>
      <c r="L219" s="33"/>
      <c r="M219" s="33"/>
      <c r="N219" s="32"/>
      <c r="P219" s="34"/>
    </row>
    <row r="220" spans="1:16" ht="15" customHeight="1">
      <c r="A220" s="42"/>
      <c r="B220" s="49"/>
      <c r="C220" s="48"/>
      <c r="D220" s="50"/>
      <c r="E220" s="47"/>
      <c r="F220" s="33"/>
      <c r="G220" s="33"/>
      <c r="H220" s="33"/>
      <c r="I220" s="33"/>
      <c r="J220" s="33"/>
      <c r="K220" s="33"/>
      <c r="L220" s="33"/>
      <c r="M220" s="33"/>
      <c r="N220" s="32"/>
      <c r="P220" s="34"/>
    </row>
    <row r="221" spans="1:16" ht="15" customHeight="1">
      <c r="A221" s="42"/>
      <c r="B221" s="49"/>
      <c r="C221" s="48"/>
      <c r="D221" s="50"/>
      <c r="E221" s="47"/>
      <c r="F221" s="33"/>
      <c r="G221" s="33"/>
      <c r="H221" s="33"/>
      <c r="I221" s="33"/>
      <c r="J221" s="33"/>
      <c r="K221" s="33"/>
      <c r="L221" s="33"/>
      <c r="M221" s="33"/>
      <c r="N221" s="32"/>
      <c r="P221" s="34"/>
    </row>
    <row r="222" spans="1:16" ht="15" customHeight="1">
      <c r="A222" s="42"/>
      <c r="B222" s="49"/>
      <c r="C222" s="48"/>
      <c r="D222" s="50"/>
      <c r="E222" s="47"/>
      <c r="F222" s="33"/>
      <c r="G222" s="33"/>
      <c r="H222" s="33"/>
      <c r="I222" s="33"/>
      <c r="J222" s="33"/>
      <c r="K222" s="33"/>
      <c r="L222" s="33"/>
      <c r="M222" s="33"/>
      <c r="N222" s="32"/>
      <c r="P222" s="34"/>
    </row>
    <row r="223" spans="1:16" ht="15" customHeight="1">
      <c r="A223" s="42"/>
      <c r="B223" s="49"/>
      <c r="C223" s="48"/>
      <c r="D223" s="50"/>
      <c r="E223" s="47"/>
      <c r="F223" s="33"/>
      <c r="G223" s="33"/>
      <c r="H223" s="33"/>
      <c r="I223" s="33"/>
      <c r="J223" s="33"/>
      <c r="K223" s="33"/>
      <c r="L223" s="33"/>
      <c r="M223" s="33"/>
      <c r="N223" s="32"/>
      <c r="P223" s="34"/>
    </row>
    <row r="224" spans="1:16" ht="15" customHeight="1">
      <c r="A224" s="42"/>
      <c r="B224" s="49"/>
      <c r="C224" s="48"/>
      <c r="D224" s="50"/>
      <c r="E224" s="47"/>
      <c r="F224" s="33"/>
      <c r="G224" s="33"/>
      <c r="H224" s="33"/>
      <c r="I224" s="33"/>
      <c r="J224" s="33"/>
      <c r="K224" s="33"/>
      <c r="L224" s="33"/>
      <c r="M224" s="33"/>
      <c r="N224" s="32"/>
      <c r="P224" s="34"/>
    </row>
    <row r="225" spans="1:16" ht="15" customHeight="1">
      <c r="A225" s="42"/>
      <c r="B225" s="49"/>
      <c r="C225" s="48"/>
      <c r="D225" s="50"/>
      <c r="E225" s="47"/>
      <c r="F225" s="33"/>
      <c r="G225" s="33"/>
      <c r="H225" s="33"/>
      <c r="I225" s="33"/>
      <c r="J225" s="33"/>
      <c r="K225" s="33"/>
      <c r="L225" s="33"/>
      <c r="M225" s="33"/>
      <c r="N225" s="32"/>
      <c r="P225" s="34"/>
    </row>
    <row r="226" spans="1:16" ht="15" customHeight="1">
      <c r="A226" s="42"/>
      <c r="B226" s="49"/>
      <c r="C226" s="48"/>
      <c r="D226" s="50"/>
      <c r="E226" s="47"/>
      <c r="F226" s="33"/>
      <c r="G226" s="33"/>
      <c r="H226" s="33"/>
      <c r="I226" s="33"/>
      <c r="J226" s="33"/>
      <c r="K226" s="33"/>
      <c r="L226" s="33"/>
      <c r="M226" s="33"/>
      <c r="N226" s="32"/>
      <c r="P226" s="34"/>
    </row>
    <row r="227" spans="1:16" ht="15" customHeight="1">
      <c r="A227" s="42"/>
      <c r="B227" s="49"/>
      <c r="C227" s="48"/>
      <c r="D227" s="50"/>
      <c r="E227" s="47"/>
      <c r="F227" s="33"/>
      <c r="G227" s="33"/>
      <c r="H227" s="33"/>
      <c r="I227" s="33"/>
      <c r="J227" s="33"/>
      <c r="K227" s="33"/>
      <c r="L227" s="33"/>
      <c r="M227" s="33"/>
      <c r="N227" s="32"/>
      <c r="P227" s="34"/>
    </row>
    <row r="228" spans="1:16" ht="15" customHeight="1">
      <c r="A228" s="42"/>
      <c r="B228" s="49"/>
      <c r="C228" s="48"/>
      <c r="D228" s="50"/>
      <c r="E228" s="47"/>
      <c r="F228" s="33"/>
      <c r="G228" s="33"/>
      <c r="H228" s="33"/>
      <c r="I228" s="33"/>
      <c r="J228" s="33"/>
      <c r="K228" s="33"/>
      <c r="L228" s="33"/>
      <c r="M228" s="33"/>
      <c r="N228" s="32"/>
      <c r="P228" s="34"/>
    </row>
    <row r="229" spans="1:16" ht="15" customHeight="1">
      <c r="A229" s="42"/>
      <c r="B229" s="49"/>
      <c r="C229" s="48"/>
      <c r="D229" s="50"/>
      <c r="E229" s="47"/>
      <c r="F229" s="33"/>
      <c r="G229" s="33"/>
      <c r="H229" s="33"/>
      <c r="I229" s="33"/>
      <c r="J229" s="33"/>
      <c r="K229" s="33"/>
      <c r="L229" s="33"/>
      <c r="M229" s="33"/>
      <c r="N229" s="32"/>
      <c r="P229" s="34"/>
    </row>
    <row r="230" spans="1:16" ht="15" customHeight="1">
      <c r="A230" s="42"/>
      <c r="B230" s="49"/>
      <c r="C230" s="48"/>
      <c r="D230" s="50"/>
      <c r="E230" s="47"/>
      <c r="F230" s="33"/>
      <c r="G230" s="33"/>
      <c r="H230" s="33"/>
      <c r="I230" s="33"/>
      <c r="J230" s="33"/>
      <c r="K230" s="33"/>
      <c r="L230" s="33"/>
      <c r="M230" s="33"/>
      <c r="N230" s="32"/>
      <c r="P230" s="34"/>
    </row>
    <row r="231" spans="1:16" ht="15" customHeight="1">
      <c r="A231" s="42"/>
      <c r="B231" s="49"/>
      <c r="C231" s="48"/>
      <c r="D231" s="50"/>
      <c r="E231" s="47"/>
      <c r="F231" s="33"/>
      <c r="G231" s="33"/>
      <c r="H231" s="33"/>
      <c r="I231" s="33"/>
      <c r="J231" s="33"/>
      <c r="K231" s="33"/>
      <c r="L231" s="33"/>
      <c r="M231" s="33"/>
      <c r="N231" s="32"/>
      <c r="P231" s="34"/>
    </row>
    <row r="232" spans="1:16" ht="15" customHeight="1">
      <c r="A232" s="42"/>
      <c r="B232" s="49"/>
      <c r="C232" s="48"/>
      <c r="D232" s="50"/>
      <c r="E232" s="47"/>
      <c r="F232" s="33"/>
      <c r="G232" s="33"/>
      <c r="H232" s="33"/>
      <c r="I232" s="33"/>
      <c r="J232" s="33"/>
      <c r="K232" s="33"/>
      <c r="L232" s="33"/>
      <c r="M232" s="33"/>
      <c r="N232" s="32"/>
      <c r="P232" s="34"/>
    </row>
    <row r="233" spans="1:16" ht="15" customHeight="1">
      <c r="A233" s="42"/>
      <c r="B233" s="49"/>
      <c r="C233" s="48"/>
      <c r="D233" s="50"/>
      <c r="E233" s="47"/>
      <c r="F233" s="33"/>
      <c r="G233" s="33"/>
      <c r="H233" s="33"/>
      <c r="I233" s="33"/>
      <c r="J233" s="33"/>
      <c r="K233" s="33"/>
      <c r="L233" s="33"/>
      <c r="M233" s="33"/>
      <c r="N233" s="32"/>
      <c r="P233" s="34"/>
    </row>
    <row r="234" spans="1:16" ht="15" customHeight="1">
      <c r="A234" s="42"/>
      <c r="B234" s="49"/>
      <c r="C234" s="48"/>
      <c r="D234" s="50"/>
      <c r="E234" s="47"/>
      <c r="F234" s="33"/>
      <c r="G234" s="33"/>
      <c r="H234" s="33"/>
      <c r="I234" s="33"/>
      <c r="J234" s="33"/>
      <c r="K234" s="33"/>
      <c r="L234" s="33"/>
      <c r="M234" s="33"/>
      <c r="N234" s="32"/>
      <c r="P234" s="34"/>
    </row>
    <row r="235" spans="1:16" ht="15" customHeight="1">
      <c r="A235" s="42"/>
      <c r="B235" s="49"/>
      <c r="C235" s="48"/>
      <c r="D235" s="50"/>
      <c r="E235" s="47"/>
      <c r="F235" s="33"/>
      <c r="G235" s="33"/>
      <c r="H235" s="33"/>
      <c r="I235" s="33"/>
      <c r="J235" s="33"/>
      <c r="K235" s="33"/>
      <c r="L235" s="33"/>
      <c r="M235" s="33"/>
      <c r="N235" s="32"/>
      <c r="P235" s="34"/>
    </row>
    <row r="236" spans="1:16" s="34" customFormat="1" ht="15" customHeight="1">
      <c r="A236" s="42"/>
      <c r="B236" s="49"/>
      <c r="C236" s="48"/>
      <c r="D236" s="50"/>
      <c r="E236" s="47"/>
      <c r="F236" s="33"/>
      <c r="G236" s="33"/>
      <c r="H236" s="33"/>
      <c r="I236" s="33"/>
      <c r="J236" s="33"/>
      <c r="K236" s="33"/>
      <c r="L236" s="33"/>
      <c r="M236" s="33"/>
      <c r="N236" s="32"/>
      <c r="O236"/>
    </row>
    <row r="237" spans="1:16" s="34" customFormat="1" ht="15" customHeight="1">
      <c r="A237" s="85"/>
      <c r="B237" s="85"/>
      <c r="C237" s="86"/>
      <c r="D237" s="87"/>
      <c r="E237" s="88"/>
      <c r="F237" s="89"/>
      <c r="G237" s="89"/>
      <c r="H237" s="89"/>
      <c r="I237" s="89"/>
      <c r="J237" s="89"/>
      <c r="K237" s="89"/>
      <c r="L237" s="89"/>
      <c r="M237" s="89"/>
      <c r="N237" s="90"/>
    </row>
    <row r="238" spans="1:16" s="34" customFormat="1" ht="15" customHeight="1">
      <c r="A238" s="85"/>
      <c r="B238" s="85"/>
      <c r="C238" s="86"/>
      <c r="D238" s="87"/>
      <c r="E238" s="88"/>
      <c r="F238" s="89"/>
      <c r="G238" s="89"/>
      <c r="H238" s="89"/>
      <c r="I238" s="89"/>
      <c r="J238" s="89"/>
      <c r="K238" s="89"/>
      <c r="L238" s="89"/>
      <c r="M238" s="89"/>
      <c r="N238" s="90"/>
    </row>
    <row r="239" spans="1:16" s="34" customFormat="1" ht="15" customHeight="1">
      <c r="A239" s="85"/>
      <c r="B239" s="85"/>
      <c r="C239" s="86"/>
      <c r="D239" s="87"/>
      <c r="E239" s="88"/>
      <c r="F239" s="89"/>
      <c r="G239" s="89"/>
      <c r="H239" s="89"/>
      <c r="I239" s="89"/>
      <c r="J239" s="89"/>
      <c r="K239" s="89"/>
      <c r="L239" s="89"/>
      <c r="M239" s="89"/>
      <c r="N239" s="90"/>
    </row>
    <row r="240" spans="1:16" s="34" customFormat="1" ht="15" customHeight="1">
      <c r="A240" s="85"/>
      <c r="B240" s="85"/>
      <c r="C240" s="86"/>
      <c r="D240" s="87"/>
      <c r="E240" s="88"/>
      <c r="F240" s="89"/>
      <c r="G240" s="89"/>
      <c r="H240" s="89"/>
      <c r="I240" s="89"/>
      <c r="J240" s="89"/>
      <c r="K240" s="89"/>
      <c r="L240" s="89"/>
      <c r="M240" s="89"/>
      <c r="N240" s="90"/>
    </row>
  </sheetData>
  <mergeCells count="10">
    <mergeCell ref="B1:N1"/>
    <mergeCell ref="C3:C4"/>
    <mergeCell ref="D3:D4"/>
    <mergeCell ref="E3:E4"/>
    <mergeCell ref="F3:G3"/>
    <mergeCell ref="H3:I3"/>
    <mergeCell ref="J3:K3"/>
    <mergeCell ref="L3:M3"/>
    <mergeCell ref="N3:N4"/>
    <mergeCell ref="A3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60" orientation="landscape"/>
  <rowBreaks count="1" manualBreakCount="1">
    <brk id="7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내역서</vt:lpstr>
      <vt:lpstr>자재산출</vt:lpstr>
      <vt:lpstr>일위대가</vt:lpstr>
      <vt:lpstr>일위대가!Print_Area</vt:lpstr>
      <vt:lpstr>내역서!Print_Titles</vt:lpstr>
      <vt:lpstr>일위대가!Print_Titles</vt:lpstr>
      <vt:lpstr>자재산출!Print_Titles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184</cp:revision>
  <cp:lastPrinted>2015-11-02T05:34:03Z</cp:lastPrinted>
  <dcterms:created xsi:type="dcterms:W3CDTF">2015-03-12T00:00:06Z</dcterms:created>
  <dcterms:modified xsi:type="dcterms:W3CDTF">2015-11-02T07:21:32Z</dcterms:modified>
</cp:coreProperties>
</file>