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/>
  </bookViews>
  <sheets>
    <sheet name="원가계산서" sheetId="2" r:id="rId1"/>
    <sheet name="내역서" sheetId="4" r:id="rId2"/>
    <sheet name="자재산출" sheetId="6" r:id="rId3"/>
    <sheet name="일위대가" sheetId="5" r:id="rId4"/>
  </sheets>
  <definedNames>
    <definedName name="_xlnm.Print_Area" localSheetId="3">일위대가!$A$1:$N$217</definedName>
    <definedName name="_xlnm.Print_Area">#REF!</definedName>
    <definedName name="_xlnm.Print_Titles" localSheetId="1">내역서!$3:$4</definedName>
    <definedName name="_xlnm.Print_Titles" localSheetId="3">일위대가!$3:$4</definedName>
    <definedName name="_xlnm.Print_Titles" localSheetId="2">자재산출!$1:$3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L34" i="4"/>
  <c r="J34"/>
  <c r="E12" i="2" s="1"/>
  <c r="H34" i="4"/>
  <c r="E9" i="2" s="1"/>
  <c r="F34" i="4"/>
  <c r="E5" i="2" s="1"/>
  <c r="G34" i="4"/>
  <c r="I34"/>
  <c r="K34"/>
  <c r="J32"/>
  <c r="H32"/>
  <c r="F32"/>
  <c r="K32"/>
  <c r="L32"/>
  <c r="K24"/>
  <c r="K15"/>
  <c r="K9"/>
  <c r="E43" i="6"/>
  <c r="O90" i="5"/>
  <c r="E42" i="6"/>
  <c r="O78" i="5"/>
  <c r="E41" i="6"/>
  <c r="O66" i="5" l="1"/>
  <c r="M66"/>
  <c r="K66"/>
  <c r="I66"/>
  <c r="G66"/>
  <c r="M62"/>
  <c r="K62"/>
  <c r="I62"/>
  <c r="G62"/>
  <c r="O62"/>
  <c r="E35" i="6" l="1"/>
  <c r="E26"/>
  <c r="E15"/>
  <c r="E14"/>
  <c r="G22" i="4"/>
  <c r="H22" s="1"/>
  <c r="E32" i="6"/>
  <c r="E31"/>
  <c r="E30"/>
  <c r="E29"/>
  <c r="E28"/>
  <c r="E34"/>
  <c r="E33"/>
  <c r="E22" i="4"/>
  <c r="F22" s="1"/>
  <c r="L22" s="1"/>
  <c r="I22"/>
  <c r="J22" s="1"/>
  <c r="F23"/>
  <c r="J23"/>
  <c r="E25" i="6"/>
  <c r="E24"/>
  <c r="E23"/>
  <c r="E22"/>
  <c r="E21"/>
  <c r="E20"/>
  <c r="E19"/>
  <c r="E18"/>
  <c r="O57" i="5"/>
  <c r="E27" i="6" l="1"/>
  <c r="E36"/>
  <c r="H23" i="4"/>
  <c r="L23" s="1"/>
  <c r="K22"/>
  <c r="K23" l="1"/>
  <c r="O53" i="5"/>
  <c r="O43"/>
  <c r="E16" i="6"/>
  <c r="L25" i="5"/>
  <c r="L26"/>
  <c r="L27"/>
  <c r="L28"/>
  <c r="L29"/>
  <c r="L30"/>
  <c r="L33"/>
  <c r="L34"/>
  <c r="L35"/>
  <c r="L36"/>
  <c r="L37"/>
  <c r="L38"/>
  <c r="L39"/>
  <c r="L24"/>
  <c r="I19"/>
  <c r="I22" s="1"/>
  <c r="I20"/>
  <c r="I21"/>
  <c r="I24"/>
  <c r="M24" s="1"/>
  <c r="I25"/>
  <c r="M25" s="1"/>
  <c r="I26"/>
  <c r="M26" s="1"/>
  <c r="I27"/>
  <c r="M27" s="1"/>
  <c r="I28"/>
  <c r="M28" s="1"/>
  <c r="I29"/>
  <c r="M29" s="1"/>
  <c r="I30"/>
  <c r="M30" s="1"/>
  <c r="I33"/>
  <c r="M33" s="1"/>
  <c r="I34"/>
  <c r="M34" s="1"/>
  <c r="I35"/>
  <c r="M35" s="1"/>
  <c r="I36"/>
  <c r="M36" s="1"/>
  <c r="I37"/>
  <c r="M37" s="1"/>
  <c r="I38"/>
  <c r="M38" s="1"/>
  <c r="I39"/>
  <c r="M39" s="1"/>
  <c r="I18"/>
  <c r="O40"/>
  <c r="O31"/>
  <c r="E17" i="6"/>
  <c r="O22" i="5"/>
  <c r="E11" i="6"/>
  <c r="E10"/>
  <c r="I31" i="5" l="1"/>
  <c r="M31" s="1"/>
  <c r="I40"/>
  <c r="M40" s="1"/>
  <c r="E9" i="6" l="1"/>
  <c r="G26" i="4"/>
  <c r="O16" i="5" l="1"/>
  <c r="L134" l="1"/>
  <c r="L135"/>
  <c r="L136"/>
  <c r="L138"/>
  <c r="M138"/>
  <c r="L139"/>
  <c r="L140"/>
  <c r="L141"/>
  <c r="L142"/>
  <c r="L133"/>
  <c r="G140"/>
  <c r="M140" s="1"/>
  <c r="G141"/>
  <c r="M141" s="1"/>
  <c r="G142"/>
  <c r="M142" s="1"/>
  <c r="G139"/>
  <c r="M139" s="1"/>
  <c r="G134"/>
  <c r="M134" s="1"/>
  <c r="G135"/>
  <c r="M135" s="1"/>
  <c r="G136"/>
  <c r="M136" s="1"/>
  <c r="G133"/>
  <c r="M133" s="1"/>
  <c r="O137"/>
  <c r="O143"/>
  <c r="O182"/>
  <c r="O174"/>
  <c r="G137" l="1"/>
  <c r="M137" s="1"/>
  <c r="G143"/>
  <c r="M143" s="1"/>
  <c r="O325"/>
  <c r="M325"/>
  <c r="O322"/>
  <c r="M322"/>
  <c r="G322"/>
  <c r="I321"/>
  <c r="O318"/>
  <c r="O315"/>
  <c r="O312"/>
  <c r="K312"/>
  <c r="K315" s="1"/>
  <c r="G312"/>
  <c r="G315" s="1"/>
  <c r="G318" s="1"/>
  <c r="O309"/>
  <c r="K309"/>
  <c r="G309"/>
  <c r="M308"/>
  <c r="L307"/>
  <c r="I307"/>
  <c r="M307" s="1"/>
  <c r="L306"/>
  <c r="I306"/>
  <c r="I309" s="1"/>
  <c r="O304"/>
  <c r="K304"/>
  <c r="G304"/>
  <c r="M303"/>
  <c r="L302"/>
  <c r="I302"/>
  <c r="M302" s="1"/>
  <c r="L301"/>
  <c r="I301"/>
  <c r="I304" s="1"/>
  <c r="O299"/>
  <c r="K299"/>
  <c r="G299"/>
  <c r="M298"/>
  <c r="L297"/>
  <c r="I297"/>
  <c r="M297" s="1"/>
  <c r="L296"/>
  <c r="I296"/>
  <c r="I299" s="1"/>
  <c r="O294"/>
  <c r="K294"/>
  <c r="I294"/>
  <c r="F291" s="1"/>
  <c r="L291" s="1"/>
  <c r="M293"/>
  <c r="L293"/>
  <c r="M292"/>
  <c r="L292"/>
  <c r="M291"/>
  <c r="M290"/>
  <c r="L289"/>
  <c r="G289"/>
  <c r="G294" s="1"/>
  <c r="O287"/>
  <c r="K287"/>
  <c r="L286"/>
  <c r="I286"/>
  <c r="M286" s="1"/>
  <c r="L285"/>
  <c r="I285"/>
  <c r="I287" s="1"/>
  <c r="L284"/>
  <c r="G284"/>
  <c r="M284" s="1"/>
  <c r="L283"/>
  <c r="G283"/>
  <c r="M283" s="1"/>
  <c r="L282"/>
  <c r="G282"/>
  <c r="M282" s="1"/>
  <c r="O280"/>
  <c r="K280"/>
  <c r="I280"/>
  <c r="G280"/>
  <c r="M279"/>
  <c r="L279"/>
  <c r="M278"/>
  <c r="L278"/>
  <c r="M277"/>
  <c r="M280" s="1"/>
  <c r="L277"/>
  <c r="O275"/>
  <c r="K275"/>
  <c r="G275"/>
  <c r="M274"/>
  <c r="L273"/>
  <c r="I273"/>
  <c r="M273" s="1"/>
  <c r="L272"/>
  <c r="I272"/>
  <c r="I275" s="1"/>
  <c r="F274" s="1"/>
  <c r="L274" s="1"/>
  <c r="M271"/>
  <c r="L271"/>
  <c r="M270"/>
  <c r="L270"/>
  <c r="M269"/>
  <c r="L269"/>
  <c r="O267"/>
  <c r="K267"/>
  <c r="G267"/>
  <c r="M266"/>
  <c r="L265"/>
  <c r="I265"/>
  <c r="M265" s="1"/>
  <c r="L264"/>
  <c r="I264"/>
  <c r="I267" s="1"/>
  <c r="F266" s="1"/>
  <c r="L266" s="1"/>
  <c r="M263"/>
  <c r="L263"/>
  <c r="M262"/>
  <c r="L262"/>
  <c r="M261"/>
  <c r="L261"/>
  <c r="O259"/>
  <c r="K259"/>
  <c r="G259"/>
  <c r="M258"/>
  <c r="L258"/>
  <c r="M257"/>
  <c r="L257"/>
  <c r="M256"/>
  <c r="L255"/>
  <c r="I255"/>
  <c r="M255" s="1"/>
  <c r="L254"/>
  <c r="I254"/>
  <c r="M254" s="1"/>
  <c r="L253"/>
  <c r="I253"/>
  <c r="M253" s="1"/>
  <c r="L252"/>
  <c r="I252"/>
  <c r="I259" s="1"/>
  <c r="F256" s="1"/>
  <c r="L256" s="1"/>
  <c r="M251"/>
  <c r="L251"/>
  <c r="M250"/>
  <c r="L250"/>
  <c r="M249"/>
  <c r="L249"/>
  <c r="O247"/>
  <c r="K247"/>
  <c r="L246"/>
  <c r="I246"/>
  <c r="G246"/>
  <c r="L245"/>
  <c r="I245"/>
  <c r="G245"/>
  <c r="L244"/>
  <c r="I244"/>
  <c r="G244"/>
  <c r="L243"/>
  <c r="G243"/>
  <c r="M243" s="1"/>
  <c r="O241"/>
  <c r="K241"/>
  <c r="G241"/>
  <c r="M240"/>
  <c r="L239"/>
  <c r="I239"/>
  <c r="M239" s="1"/>
  <c r="L238"/>
  <c r="I238"/>
  <c r="I241" s="1"/>
  <c r="M237"/>
  <c r="L237"/>
  <c r="M236"/>
  <c r="L236"/>
  <c r="O234"/>
  <c r="I233"/>
  <c r="O231"/>
  <c r="L231"/>
  <c r="K231"/>
  <c r="G231"/>
  <c r="M230"/>
  <c r="L229"/>
  <c r="I229"/>
  <c r="M229" s="1"/>
  <c r="L228"/>
  <c r="I228"/>
  <c r="I231" s="1"/>
  <c r="M227"/>
  <c r="L227"/>
  <c r="M226"/>
  <c r="L226"/>
  <c r="M225"/>
  <c r="L225"/>
  <c r="M224"/>
  <c r="L224"/>
  <c r="O222"/>
  <c r="L222"/>
  <c r="K222"/>
  <c r="G222"/>
  <c r="I221"/>
  <c r="M221" s="1"/>
  <c r="L220"/>
  <c r="I220"/>
  <c r="M220" s="1"/>
  <c r="L219"/>
  <c r="I219"/>
  <c r="M219" s="1"/>
  <c r="O217"/>
  <c r="K217"/>
  <c r="J217"/>
  <c r="L217" s="1"/>
  <c r="G217"/>
  <c r="L216"/>
  <c r="I216"/>
  <c r="I217" s="1"/>
  <c r="O214"/>
  <c r="L214"/>
  <c r="K214"/>
  <c r="G214"/>
  <c r="L213"/>
  <c r="I213"/>
  <c r="M213" s="1"/>
  <c r="L212"/>
  <c r="I212"/>
  <c r="M212" s="1"/>
  <c r="I211"/>
  <c r="M211" s="1"/>
  <c r="L210"/>
  <c r="I210"/>
  <c r="M210" s="1"/>
  <c r="L209"/>
  <c r="I209"/>
  <c r="M209" s="1"/>
  <c r="L208"/>
  <c r="I208"/>
  <c r="M208" s="1"/>
  <c r="L207"/>
  <c r="I207"/>
  <c r="M207" s="1"/>
  <c r="M206"/>
  <c r="L206"/>
  <c r="M205"/>
  <c r="L205"/>
  <c r="M204"/>
  <c r="L204"/>
  <c r="O202"/>
  <c r="M202"/>
  <c r="K202"/>
  <c r="I202"/>
  <c r="G202"/>
  <c r="O199"/>
  <c r="K199"/>
  <c r="I199"/>
  <c r="G199"/>
  <c r="M198"/>
  <c r="L198"/>
  <c r="M197"/>
  <c r="M199" s="1"/>
  <c r="L197"/>
  <c r="O195"/>
  <c r="L195"/>
  <c r="K195"/>
  <c r="G195"/>
  <c r="M194"/>
  <c r="L194"/>
  <c r="L193"/>
  <c r="I193"/>
  <c r="I195" s="1"/>
  <c r="M192"/>
  <c r="L192"/>
  <c r="O190"/>
  <c r="K190"/>
  <c r="J190"/>
  <c r="I190"/>
  <c r="G190"/>
  <c r="F190"/>
  <c r="M189"/>
  <c r="L189"/>
  <c r="M188"/>
  <c r="M190" s="1"/>
  <c r="L188"/>
  <c r="O186"/>
  <c r="L186"/>
  <c r="K186"/>
  <c r="I186"/>
  <c r="G186"/>
  <c r="M185"/>
  <c r="L185"/>
  <c r="M184"/>
  <c r="M186" s="1"/>
  <c r="L184"/>
  <c r="O166"/>
  <c r="K166"/>
  <c r="J166"/>
  <c r="L166" s="1"/>
  <c r="I166"/>
  <c r="L165"/>
  <c r="G165"/>
  <c r="M165" s="1"/>
  <c r="L164"/>
  <c r="G164"/>
  <c r="G166" s="1"/>
  <c r="O162"/>
  <c r="K162"/>
  <c r="J162"/>
  <c r="L162" s="1"/>
  <c r="I162"/>
  <c r="L161"/>
  <c r="G161"/>
  <c r="M161" s="1"/>
  <c r="L160"/>
  <c r="G160"/>
  <c r="G162" s="1"/>
  <c r="O158"/>
  <c r="K158"/>
  <c r="J158"/>
  <c r="L157"/>
  <c r="I157"/>
  <c r="I158" s="1"/>
  <c r="L156"/>
  <c r="G156"/>
  <c r="M156" s="1"/>
  <c r="L155"/>
  <c r="G155"/>
  <c r="G158" s="1"/>
  <c r="O153"/>
  <c r="K153"/>
  <c r="J153"/>
  <c r="L152"/>
  <c r="I152"/>
  <c r="M152" s="1"/>
  <c r="L151"/>
  <c r="I151"/>
  <c r="M151" s="1"/>
  <c r="L150"/>
  <c r="I150"/>
  <c r="I153" s="1"/>
  <c r="G150"/>
  <c r="O148"/>
  <c r="L148"/>
  <c r="K148"/>
  <c r="L147"/>
  <c r="I147"/>
  <c r="M147" s="1"/>
  <c r="L146"/>
  <c r="I146"/>
  <c r="M146" s="1"/>
  <c r="L145"/>
  <c r="I145"/>
  <c r="I148" s="1"/>
  <c r="G145"/>
  <c r="O131"/>
  <c r="M131"/>
  <c r="I131"/>
  <c r="G131"/>
  <c r="O126"/>
  <c r="I126"/>
  <c r="G126"/>
  <c r="M125"/>
  <c r="M126" s="1"/>
  <c r="O123"/>
  <c r="K123"/>
  <c r="G123"/>
  <c r="I122"/>
  <c r="I123" s="1"/>
  <c r="O120"/>
  <c r="M120"/>
  <c r="K120"/>
  <c r="G120"/>
  <c r="I118"/>
  <c r="I120" s="1"/>
  <c r="O116"/>
  <c r="M116"/>
  <c r="K116"/>
  <c r="G116"/>
  <c r="I115"/>
  <c r="I116" s="1"/>
  <c r="O113"/>
  <c r="M113"/>
  <c r="G113"/>
  <c r="I111"/>
  <c r="I113" s="1"/>
  <c r="E6" i="4"/>
  <c r="F6" s="1"/>
  <c r="E17" i="2"/>
  <c r="H7" i="4" l="1"/>
  <c r="H8"/>
  <c r="J11"/>
  <c r="H12"/>
  <c r="E13"/>
  <c r="I13"/>
  <c r="J13" s="1"/>
  <c r="H14"/>
  <c r="E17"/>
  <c r="I17"/>
  <c r="J17" s="1"/>
  <c r="G18"/>
  <c r="H18" s="1"/>
  <c r="E19"/>
  <c r="I19"/>
  <c r="J19" s="1"/>
  <c r="G20"/>
  <c r="H20" s="1"/>
  <c r="E21"/>
  <c r="I21"/>
  <c r="J21" s="1"/>
  <c r="H26"/>
  <c r="E27"/>
  <c r="I27"/>
  <c r="J27" s="1"/>
  <c r="H28"/>
  <c r="E29"/>
  <c r="I29"/>
  <c r="J29" s="1"/>
  <c r="G30"/>
  <c r="H30" s="1"/>
  <c r="J31"/>
  <c r="J7"/>
  <c r="J8"/>
  <c r="H11"/>
  <c r="J12"/>
  <c r="G13"/>
  <c r="H13" s="1"/>
  <c r="J14"/>
  <c r="G17"/>
  <c r="H17" s="1"/>
  <c r="E18"/>
  <c r="I18"/>
  <c r="J18" s="1"/>
  <c r="G19"/>
  <c r="H19" s="1"/>
  <c r="E20"/>
  <c r="I20"/>
  <c r="J20" s="1"/>
  <c r="G21"/>
  <c r="H21" s="1"/>
  <c r="J26"/>
  <c r="G27"/>
  <c r="H27" s="1"/>
  <c r="J28"/>
  <c r="G29"/>
  <c r="H29" s="1"/>
  <c r="E30"/>
  <c r="I30"/>
  <c r="J30" s="1"/>
  <c r="H31"/>
  <c r="I6"/>
  <c r="J6" s="1"/>
  <c r="J9" s="1"/>
  <c r="G6"/>
  <c r="H6" s="1"/>
  <c r="H9" s="1"/>
  <c r="L190" i="5"/>
  <c r="I247"/>
  <c r="M245"/>
  <c r="M145"/>
  <c r="M148" s="1"/>
  <c r="M150"/>
  <c r="G247"/>
  <c r="M246"/>
  <c r="F230"/>
  <c r="L230" s="1"/>
  <c r="F119"/>
  <c r="F240"/>
  <c r="L240" s="1"/>
  <c r="F298"/>
  <c r="L298" s="1"/>
  <c r="F303"/>
  <c r="L303" s="1"/>
  <c r="F308"/>
  <c r="L308" s="1"/>
  <c r="M153"/>
  <c r="M214"/>
  <c r="M122"/>
  <c r="M123" s="1"/>
  <c r="G148"/>
  <c r="G153"/>
  <c r="M155"/>
  <c r="M157"/>
  <c r="M164"/>
  <c r="M166" s="1"/>
  <c r="M193"/>
  <c r="M195" s="1"/>
  <c r="I214"/>
  <c r="F211" s="1"/>
  <c r="L211" s="1"/>
  <c r="I222"/>
  <c r="M238"/>
  <c r="M241" s="1"/>
  <c r="M244"/>
  <c r="M247" s="1"/>
  <c r="M252"/>
  <c r="M259" s="1"/>
  <c r="M264"/>
  <c r="M267" s="1"/>
  <c r="M272"/>
  <c r="M275" s="1"/>
  <c r="M285"/>
  <c r="M287" s="1"/>
  <c r="G287"/>
  <c r="F290"/>
  <c r="M296"/>
  <c r="M299" s="1"/>
  <c r="M301"/>
  <c r="M304" s="1"/>
  <c r="M306"/>
  <c r="M309" s="1"/>
  <c r="M160"/>
  <c r="M162" s="1"/>
  <c r="M216"/>
  <c r="M217" s="1"/>
  <c r="M228"/>
  <c r="M231" s="1"/>
  <c r="M289"/>
  <c r="M294" s="1"/>
  <c r="H24" i="4" l="1"/>
  <c r="H15"/>
  <c r="J24"/>
  <c r="J15"/>
  <c r="F28"/>
  <c r="L28" s="1"/>
  <c r="K28"/>
  <c r="F18"/>
  <c r="L18" s="1"/>
  <c r="K18"/>
  <c r="F12"/>
  <c r="L12" s="1"/>
  <c r="K12"/>
  <c r="F8"/>
  <c r="L8" s="1"/>
  <c r="K8"/>
  <c r="F7"/>
  <c r="K7"/>
  <c r="F29"/>
  <c r="L29" s="1"/>
  <c r="K29"/>
  <c r="F19"/>
  <c r="L19" s="1"/>
  <c r="K19"/>
  <c r="F13"/>
  <c r="L13" s="1"/>
  <c r="K13"/>
  <c r="F30"/>
  <c r="L30" s="1"/>
  <c r="K30"/>
  <c r="F26"/>
  <c r="L26" s="1"/>
  <c r="K26"/>
  <c r="F20"/>
  <c r="L20" s="1"/>
  <c r="K20"/>
  <c r="F14"/>
  <c r="L14" s="1"/>
  <c r="K14"/>
  <c r="F31"/>
  <c r="L31" s="1"/>
  <c r="K31"/>
  <c r="F27"/>
  <c r="L27" s="1"/>
  <c r="K27"/>
  <c r="F21"/>
  <c r="L21" s="1"/>
  <c r="K21"/>
  <c r="F17"/>
  <c r="K17"/>
  <c r="F11"/>
  <c r="K11"/>
  <c r="K6"/>
  <c r="M222" i="5"/>
  <c r="L6" i="4"/>
  <c r="M158" i="5"/>
  <c r="F221"/>
  <c r="L221" s="1"/>
  <c r="L11" i="4" l="1"/>
  <c r="F15"/>
  <c r="L15" s="1"/>
  <c r="L17"/>
  <c r="F24"/>
  <c r="L24" s="1"/>
  <c r="L7"/>
  <c r="F9"/>
  <c r="L9" s="1"/>
  <c r="E10" i="2" l="1"/>
  <c r="E11" s="1"/>
  <c r="E14" l="1"/>
  <c r="E13"/>
  <c r="E8" l="1"/>
  <c r="E21" l="1"/>
  <c r="E20"/>
  <c r="E22" l="1"/>
  <c r="E23" l="1"/>
  <c r="E24" l="1"/>
  <c r="E25" l="1"/>
  <c r="E27" l="1"/>
  <c r="E28" l="1"/>
  <c r="E29" l="1"/>
</calcChain>
</file>

<file path=xl/sharedStrings.xml><?xml version="1.0" encoding="utf-8"?>
<sst xmlns="http://schemas.openxmlformats.org/spreadsheetml/2006/main" count="1388" uniqueCount="504">
  <si>
    <t xml:space="preserve">                                                        구  분
       비   목</t>
  </si>
  <si>
    <t>건  강  보   험   료</t>
  </si>
  <si>
    <t>산  재  보   험   료</t>
  </si>
  <si>
    <t>직   접   재  료  비</t>
  </si>
  <si>
    <t>작업설.부산물 등(△)</t>
  </si>
  <si>
    <t>고  용  보   험   료</t>
  </si>
  <si>
    <t>(재+노)*3.03%</t>
  </si>
  <si>
    <t>(노)*3.8%</t>
  </si>
  <si>
    <t>(총원가)*10%</t>
  </si>
  <si>
    <t>노인 장기 요양보험료</t>
  </si>
  <si>
    <t>합      계</t>
  </si>
  <si>
    <t>(노)*0.87%</t>
  </si>
  <si>
    <t>(재+노+경)*6%</t>
  </si>
  <si>
    <t>구    성   비</t>
  </si>
  <si>
    <t>금      액</t>
  </si>
  <si>
    <t>직.노*9.6%</t>
  </si>
  <si>
    <t>경      비</t>
  </si>
  <si>
    <t>[단위 : 원]</t>
  </si>
  <si>
    <t>품      명</t>
  </si>
  <si>
    <t>규      격</t>
  </si>
  <si>
    <t>부   가   가  치  세</t>
  </si>
  <si>
    <t>직   접   노  무  비</t>
  </si>
  <si>
    <t>연  금  보   험   료</t>
  </si>
  <si>
    <t>순  공  사  원  가</t>
  </si>
  <si>
    <t>간   접   노  무  비</t>
  </si>
  <si>
    <t>환  경  보   전   비</t>
  </si>
  <si>
    <t>안  전   관   리  비</t>
  </si>
  <si>
    <t>퇴 직 공 제 부 금 비</t>
  </si>
  <si>
    <t>간   접   재  료  비</t>
  </si>
  <si>
    <t>(노+경+일)*10.51%</t>
  </si>
  <si>
    <t>일  반   관   리  비</t>
  </si>
  <si>
    <t>폐  기  물  처 리 비</t>
  </si>
  <si>
    <t>경  비</t>
  </si>
  <si>
    <t>3억원이상적용</t>
  </si>
  <si>
    <t>비    고</t>
  </si>
  <si>
    <t>1개월이상적용</t>
  </si>
  <si>
    <t>단  가</t>
  </si>
  <si>
    <t>금   액</t>
  </si>
  <si>
    <t>4천만원이상</t>
  </si>
  <si>
    <t>노  무  비</t>
  </si>
  <si>
    <t>재  료  비</t>
  </si>
  <si>
    <t>이                윤</t>
  </si>
  <si>
    <t>기    타    경    비</t>
  </si>
  <si>
    <t>총       원       가</t>
  </si>
  <si>
    <t>소                계</t>
  </si>
  <si>
    <t>기    계    경    비</t>
  </si>
  <si>
    <t xml:space="preserve"> 소               계</t>
  </si>
  <si>
    <t>도    급    금    액</t>
  </si>
  <si>
    <t>[  합          계   ]</t>
  </si>
  <si>
    <t>(재+직.노+기.경)*0.3%</t>
  </si>
  <si>
    <t>M2</t>
  </si>
  <si>
    <t>품명</t>
  </si>
  <si>
    <t>단위</t>
  </si>
  <si>
    <t>재료비</t>
  </si>
  <si>
    <t>규격</t>
  </si>
  <si>
    <t>노무비</t>
  </si>
  <si>
    <t/>
  </si>
  <si>
    <t>비고</t>
  </si>
  <si>
    <t>식</t>
  </si>
  <si>
    <t>개소</t>
  </si>
  <si>
    <t>계</t>
  </si>
  <si>
    <t>보통인부</t>
  </si>
  <si>
    <t>특별인부</t>
  </si>
  <si>
    <t>인력품의5%</t>
  </si>
  <si>
    <t>수  량</t>
  </si>
  <si>
    <t>일위20호</t>
  </si>
  <si>
    <t>비  고</t>
  </si>
  <si>
    <t>비닐타일용</t>
  </si>
  <si>
    <t>일위13호</t>
  </si>
  <si>
    <t>일위16호</t>
  </si>
  <si>
    <t>일위17호</t>
  </si>
  <si>
    <t>공구손료</t>
  </si>
  <si>
    <t>천원이하절삭</t>
  </si>
  <si>
    <t>일위4호</t>
  </si>
  <si>
    <t>일위10호</t>
  </si>
  <si>
    <t>일위6호</t>
  </si>
  <si>
    <t>일위18호</t>
  </si>
  <si>
    <t>인건비의 3%</t>
  </si>
  <si>
    <t>일위5호</t>
  </si>
  <si>
    <t>일위21호</t>
  </si>
  <si>
    <t>일위8호</t>
  </si>
  <si>
    <t>일위12호</t>
  </si>
  <si>
    <t>일위7호</t>
  </si>
  <si>
    <t>일위9호</t>
  </si>
  <si>
    <t>일위2호</t>
  </si>
  <si>
    <t>일위19호</t>
  </si>
  <si>
    <t>일위3호</t>
  </si>
  <si>
    <t>일위11호</t>
  </si>
  <si>
    <t>1. 철거공사</t>
  </si>
  <si>
    <t>잡재료비</t>
  </si>
  <si>
    <t>중기 30호</t>
  </si>
  <si>
    <t>산소 가스</t>
  </si>
  <si>
    <t>자기질타일</t>
  </si>
  <si>
    <t>유리주위코킹</t>
  </si>
  <si>
    <t>노무비의 5%</t>
  </si>
  <si>
    <t>압축가스</t>
  </si>
  <si>
    <t>자재에입력</t>
  </si>
  <si>
    <t>노무비의 3%</t>
  </si>
  <si>
    <t>아세틸렌</t>
  </si>
  <si>
    <t>조합페인트</t>
  </si>
  <si>
    <t>5*5,실리콘</t>
  </si>
  <si>
    <t>용접공(일반)</t>
  </si>
  <si>
    <t>바닥,벽</t>
  </si>
  <si>
    <t>500 AMP</t>
  </si>
  <si>
    <t>위생기구설치</t>
  </si>
  <si>
    <t>일위30호</t>
  </si>
  <si>
    <t>타일떼내기</t>
  </si>
  <si>
    <t>방습거울설치</t>
  </si>
  <si>
    <t>일위29호</t>
  </si>
  <si>
    <t>무늬강판</t>
  </si>
  <si>
    <t>일위27호</t>
  </si>
  <si>
    <t>할증50%</t>
  </si>
  <si>
    <t>일위  11호</t>
  </si>
  <si>
    <t>T:4.5</t>
  </si>
  <si>
    <t>30mm</t>
  </si>
  <si>
    <t>4.5t</t>
  </si>
  <si>
    <t>마천석 판재</t>
  </si>
  <si>
    <t>노무비의 9%</t>
  </si>
  <si>
    <t>건축 14-6</t>
  </si>
  <si>
    <t>방습거울후레임</t>
  </si>
  <si>
    <t>건축19-4</t>
  </si>
  <si>
    <t>바탕고르기</t>
  </si>
  <si>
    <t>인력품의2%</t>
  </si>
  <si>
    <t>천정,철재면</t>
  </si>
  <si>
    <t>위생기구철거</t>
  </si>
  <si>
    <t>인력품의 2%</t>
  </si>
  <si>
    <t>모르타르</t>
  </si>
  <si>
    <t>일위32호</t>
  </si>
  <si>
    <t>일위25호</t>
  </si>
  <si>
    <t>발포우레탄충전</t>
  </si>
  <si>
    <t>일위35호</t>
  </si>
  <si>
    <t>일위26호</t>
  </si>
  <si>
    <t>천장점검구</t>
  </si>
  <si>
    <t>시내도착도</t>
  </si>
  <si>
    <t>일위23호</t>
  </si>
  <si>
    <t>철재면2회</t>
  </si>
  <si>
    <t>유리끼우기</t>
  </si>
  <si>
    <t>일위22호</t>
  </si>
  <si>
    <t>1종.1회</t>
  </si>
  <si>
    <t>건축14-6</t>
  </si>
  <si>
    <t>일위24호</t>
  </si>
  <si>
    <t>환풍기 교체</t>
  </si>
  <si>
    <t>건축17-4</t>
  </si>
  <si>
    <t>1회.1종</t>
  </si>
  <si>
    <t>인력품의 9%</t>
  </si>
  <si>
    <t>녹막이페인트칠</t>
  </si>
  <si>
    <t>모르타르배합</t>
  </si>
  <si>
    <t>일위36호</t>
  </si>
  <si>
    <t>건축10-1</t>
  </si>
  <si>
    <t>일위31호</t>
  </si>
  <si>
    <t>공사명 : 진안용담, 진안안천우체국 시설 보수공사</t>
  </si>
  <si>
    <t xml:space="preserve"> [ 합          계 ]</t>
  </si>
  <si>
    <t>KSM6020-1종1급, 백색</t>
  </si>
  <si>
    <t>배합용적비 1:1, 시멘트모래별도</t>
  </si>
  <si>
    <t>KSM6060-2종,조합페인트용</t>
  </si>
  <si>
    <t>합성수지창호설치  1.5M2미만</t>
  </si>
  <si>
    <t>배합용적비 1:2, 시멘트모래별도</t>
  </si>
  <si>
    <t>적산-설비807</t>
  </si>
  <si>
    <t>실리콘(비초산)</t>
  </si>
  <si>
    <t>유리용,창호주위</t>
  </si>
  <si>
    <t>건축12-12-1</t>
  </si>
  <si>
    <t>거래-건축496</t>
  </si>
  <si>
    <t>화장실 액세서리설치</t>
  </si>
  <si>
    <t>실리콘(초산형)</t>
  </si>
  <si>
    <t>수밀코킹(10mm각)</t>
  </si>
  <si>
    <t>건축15-1-1</t>
  </si>
  <si>
    <t>적산-건축431</t>
  </si>
  <si>
    <t>규        격</t>
  </si>
  <si>
    <t>(직.노)*2.3%</t>
  </si>
  <si>
    <t>실적(건축-27)</t>
  </si>
  <si>
    <t>창호주위 (건식벽)</t>
  </si>
  <si>
    <t>∮3.2  CR-13</t>
  </si>
  <si>
    <t>KSM6060,2종</t>
  </si>
  <si>
    <t>(직.노)*2.49%</t>
  </si>
  <si>
    <t>용접기 (교류)</t>
  </si>
  <si>
    <t>용접봉(연강용)</t>
  </si>
  <si>
    <t>광명단조합페인트</t>
  </si>
  <si>
    <t>타일철거(바닥, 벽)</t>
  </si>
  <si>
    <t>화장실 칸막이철거</t>
  </si>
  <si>
    <t>방범창 철거후 재설치</t>
  </si>
  <si>
    <t xml:space="preserve">품셈 21-1-2 </t>
  </si>
  <si>
    <t>적산-건축519</t>
  </si>
  <si>
    <t xml:space="preserve">건축 17-4.1 </t>
  </si>
  <si>
    <t>건축 19-2.3</t>
  </si>
  <si>
    <t>조합 페인트(친환경)</t>
  </si>
  <si>
    <t>설비 3-1-9</t>
  </si>
  <si>
    <t>석재용 앵커 철물</t>
  </si>
  <si>
    <t>품        명</t>
  </si>
  <si>
    <t>(직.노)*1.7%</t>
  </si>
  <si>
    <t>잡철물제작설치(스텐)</t>
  </si>
  <si>
    <t>주재료비의 6%</t>
  </si>
  <si>
    <t xml:space="preserve">경량칸막이 철거 </t>
  </si>
  <si>
    <t>품셈 21-1-2</t>
  </si>
  <si>
    <t>건축 19-3-1</t>
  </si>
  <si>
    <t>주재료비의 4%</t>
  </si>
  <si>
    <t>㎾h</t>
  </si>
  <si>
    <t>방수공</t>
  </si>
  <si>
    <t>HR</t>
  </si>
  <si>
    <t>용접공</t>
  </si>
  <si>
    <t>소변기</t>
  </si>
  <si>
    <t>kg</t>
  </si>
  <si>
    <t>철공</t>
  </si>
  <si>
    <t>철재면</t>
  </si>
  <si>
    <t>연마지</t>
  </si>
  <si>
    <t>산소</t>
  </si>
  <si>
    <t>보통</t>
  </si>
  <si>
    <t>양변기</t>
  </si>
  <si>
    <t>접착재</t>
  </si>
  <si>
    <t>위생공</t>
  </si>
  <si>
    <t>석공</t>
  </si>
  <si>
    <t>도장공</t>
  </si>
  <si>
    <t>L</t>
  </si>
  <si>
    <t>EA</t>
  </si>
  <si>
    <t>간단</t>
  </si>
  <si>
    <t>전력</t>
  </si>
  <si>
    <t>배관공</t>
  </si>
  <si>
    <t>줄눈공</t>
  </si>
  <si>
    <t>개당</t>
  </si>
  <si>
    <t>인</t>
  </si>
  <si>
    <t>잡재료</t>
  </si>
  <si>
    <t>개</t>
  </si>
  <si>
    <t>1</t>
  </si>
  <si>
    <t>타일공</t>
  </si>
  <si>
    <t>신너</t>
  </si>
  <si>
    <t>위치</t>
  </si>
  <si>
    <t>산출식</t>
  </si>
  <si>
    <t>내장공</t>
  </si>
  <si>
    <t>KG</t>
  </si>
  <si>
    <t>M</t>
  </si>
  <si>
    <t>m2</t>
  </si>
  <si>
    <t>실리콘</t>
  </si>
  <si>
    <t>미장공</t>
  </si>
  <si>
    <t>유리공</t>
  </si>
  <si>
    <t>신나</t>
  </si>
  <si>
    <t>시멘트</t>
  </si>
  <si>
    <t>M3</t>
  </si>
  <si>
    <t>철판공</t>
  </si>
  <si>
    <t>창호공</t>
  </si>
  <si>
    <t>화변기</t>
  </si>
  <si>
    <t>판금공</t>
  </si>
  <si>
    <t>조</t>
  </si>
  <si>
    <t>코킹공</t>
  </si>
  <si>
    <t>매</t>
  </si>
  <si>
    <t>모래</t>
  </si>
  <si>
    <t>100*100*13.1KG, 방청조합P</t>
  </si>
  <si>
    <t>앵커세트, 5×50×(60+60)mm</t>
  </si>
  <si>
    <t>연마지, #120~180, 230×280</t>
  </si>
  <si>
    <t xml:space="preserve">합성수지창호설치  3.5~5.5M2미만 </t>
  </si>
  <si>
    <t xml:space="preserve">합성수지창호설치  1.5~3.5M2미만 </t>
  </si>
  <si>
    <t>벽12mm</t>
  </si>
  <si>
    <t>점포상차도</t>
  </si>
  <si>
    <t>일위 28호</t>
  </si>
  <si>
    <t>글래스실란트</t>
  </si>
  <si>
    <t>일위34호</t>
  </si>
  <si>
    <t>도기질타일</t>
  </si>
  <si>
    <t>천장점검구설치</t>
  </si>
  <si>
    <t>재료비의 5%</t>
  </si>
  <si>
    <t>일위33호</t>
  </si>
  <si>
    <t>일위28호</t>
  </si>
  <si>
    <t>일위 32호</t>
  </si>
  <si>
    <t>우레탄폼 충전</t>
  </si>
  <si>
    <t>일위40호</t>
  </si>
  <si>
    <t>석재판붙임</t>
  </si>
  <si>
    <t>일위37호</t>
  </si>
  <si>
    <t>일위39호</t>
  </si>
  <si>
    <t>창문틀주위충전</t>
  </si>
  <si>
    <t>일위38호</t>
  </si>
  <si>
    <t>일위41호</t>
  </si>
  <si>
    <t>바닥24mm</t>
  </si>
  <si>
    <t>도장 후 퍼티 및 연마</t>
  </si>
  <si>
    <t>650*650 (AL)</t>
  </si>
  <si>
    <t>KSM6030-1종1류</t>
  </si>
  <si>
    <t>건축17-4,17-2-3</t>
  </si>
  <si>
    <t>Φ3.2mm, AWSE308</t>
  </si>
  <si>
    <t>공구손료및경장비의기계경비</t>
  </si>
  <si>
    <t>스테인리스강판(STS304)</t>
  </si>
  <si>
    <t>5mm*600*900,틀포함</t>
  </si>
  <si>
    <t>판유리, 유리두께 5MM이하</t>
  </si>
  <si>
    <t>건축17-3-1,17-2-3</t>
  </si>
  <si>
    <t>(건강보험료)*6.55%</t>
  </si>
  <si>
    <t>100*100*4.5t</t>
  </si>
  <si>
    <t>W50*1.5t SST</t>
  </si>
  <si>
    <t>환경친화형 유성에나멜도료</t>
  </si>
  <si>
    <t>(재+직.노)*2.93%</t>
  </si>
  <si>
    <t>각형강관설치(ㅁ-4.5T)</t>
  </si>
  <si>
    <t>1.5t (STS304)</t>
  </si>
  <si>
    <t>구조용각형강관(4.5t)</t>
  </si>
  <si>
    <t>청소용수채 배관 바탕만들기</t>
  </si>
  <si>
    <t>용접봉(스텐용)</t>
  </si>
  <si>
    <t>건축 10-1-2</t>
  </si>
  <si>
    <t>조합페인트(뿜칠)</t>
  </si>
  <si>
    <t>건식(앵커지지공법)</t>
  </si>
  <si>
    <t>녹막이페인트(뿜칠)</t>
  </si>
  <si>
    <t>무늬강판(간단)</t>
  </si>
  <si>
    <t>철재면 2회 1급</t>
  </si>
  <si>
    <t>잡철물제작설치(철제)</t>
  </si>
  <si>
    <t>주재료비의 3%</t>
  </si>
  <si>
    <t>1:3, 체가름有</t>
  </si>
  <si>
    <t>건축 17-4.1</t>
  </si>
  <si>
    <t>일반색, 250*400 (300*300)</t>
  </si>
  <si>
    <t>특수시멘트</t>
  </si>
  <si>
    <t>백색시멘트(kg)</t>
  </si>
  <si>
    <t>인력품의 3%</t>
  </si>
  <si>
    <t>무유, 200*200*6.5~8</t>
  </si>
  <si>
    <t>타일시멘트</t>
  </si>
  <si>
    <t>인력품의3%</t>
  </si>
  <si>
    <t>일위15호</t>
    <phoneticPr fontId="7" type="noConversion"/>
  </si>
  <si>
    <t>자기질타일 압착붙임,200*200  바닥,압6mm  M2  건축 11-2,11-4</t>
    <phoneticPr fontId="7" type="noConversion"/>
  </si>
  <si>
    <t>일위14호</t>
    <phoneticPr fontId="7" type="noConversion"/>
  </si>
  <si>
    <t>도기질타일 떠붙임,400*250  벽,15mm  M2  건축 11-2,11-3</t>
    <phoneticPr fontId="7" type="noConversion"/>
  </si>
  <si>
    <t>시  멘  트</t>
  </si>
  <si>
    <t>모      래</t>
  </si>
  <si>
    <t>기타 도막방수제</t>
  </si>
  <si>
    <t>방수액 고점도 (1:50 희석)</t>
  </si>
  <si>
    <t>시멘트 액체방수</t>
  </si>
  <si>
    <t>바닥, - 재료 별도 -</t>
  </si>
  <si>
    <t>시멘트 액체방수  바닥, 1종  M2  건축 13-7-2</t>
    <phoneticPr fontId="7" type="noConversion"/>
  </si>
  <si>
    <t>벽,   - 재료 별도 -</t>
  </si>
  <si>
    <t>시멘트 액체방수  벽, 2종  M2  건축 13-7-2</t>
    <phoneticPr fontId="7" type="noConversion"/>
  </si>
  <si>
    <t>원 가 계 산 서</t>
    <phoneticPr fontId="7" type="noConversion"/>
  </si>
  <si>
    <r>
      <t>공사명 : 전주우편집중국</t>
    </r>
    <r>
      <rPr>
        <sz val="11"/>
        <color rgb="FF000000"/>
        <rFont val="맑은 고딕"/>
        <family val="3"/>
        <charset val="129"/>
      </rPr>
      <t xml:space="preserve"> 석면철거 보수공사</t>
    </r>
    <phoneticPr fontId="7" type="noConversion"/>
  </si>
  <si>
    <t>공 종 별  내 역 서</t>
    <phoneticPr fontId="7" type="noConversion"/>
  </si>
  <si>
    <t>자 재 산 출 내 역</t>
    <phoneticPr fontId="7" type="noConversion"/>
  </si>
  <si>
    <t>수량</t>
    <phoneticPr fontId="7" type="noConversion"/>
  </si>
  <si>
    <t>일 위 대 가 명 세 서</t>
    <phoneticPr fontId="7" type="noConversion"/>
  </si>
  <si>
    <t>1. 가설공사</t>
    <phoneticPr fontId="7" type="noConversion"/>
  </si>
  <si>
    <t>비계안정장치</t>
  </si>
  <si>
    <t>비계안정장치, 비계기본틀, 기둥, 1.2*1.7m</t>
  </si>
  <si>
    <t>비계안정장치, 가새, 1.2*1.9m</t>
  </si>
  <si>
    <t>비계안정장치, 수평띠장, 1829mm</t>
  </si>
  <si>
    <t>비계안정장치, 손잡이기둥</t>
  </si>
  <si>
    <t>비계안정장치, 손잡이, 1229mm</t>
  </si>
  <si>
    <t>비계안정장치, 손잡이, 1829mm</t>
  </si>
  <si>
    <t>비계안정장치, 바퀴</t>
  </si>
  <si>
    <t>비계안정장치, 쟈키</t>
  </si>
  <si>
    <t>판재</t>
  </si>
  <si>
    <t>판재, 외송, 일반</t>
  </si>
  <si>
    <t>일반공사 직종</t>
  </si>
  <si>
    <t>이동식강관말비계  1단(2m), 3개월  대  토목 2-6-3, 5</t>
    <phoneticPr fontId="7" type="noConversion"/>
  </si>
  <si>
    <t>일위01호</t>
    <phoneticPr fontId="7" type="noConversion"/>
  </si>
  <si>
    <t>이동식강관말비계</t>
  </si>
  <si>
    <t>1단(2m), 3개월</t>
  </si>
  <si>
    <t>대</t>
  </si>
  <si>
    <r>
      <t>일위0</t>
    </r>
    <r>
      <rPr>
        <sz val="11"/>
        <color rgb="FF000000"/>
        <rFont val="맑은 고딕"/>
        <family val="3"/>
        <charset val="129"/>
      </rPr>
      <t>1호</t>
    </r>
    <phoneticPr fontId="7" type="noConversion"/>
  </si>
  <si>
    <t>2. 수장공사</t>
    <phoneticPr fontId="7" type="noConversion"/>
  </si>
  <si>
    <t>건설장비 대여</t>
  </si>
  <si>
    <t>스카이 18m 1t</t>
  </si>
  <si>
    <t>일</t>
  </si>
  <si>
    <r>
      <t>I</t>
    </r>
    <r>
      <rPr>
        <sz val="11"/>
        <color rgb="FF000000"/>
        <rFont val="맑은 고딕"/>
        <family val="3"/>
        <charset val="129"/>
      </rPr>
      <t>NT</t>
    </r>
    <phoneticPr fontId="7" type="noConversion"/>
  </si>
  <si>
    <t>천정보수</t>
    <phoneticPr fontId="7" type="noConversion"/>
  </si>
  <si>
    <r>
      <t>외벽</t>
    </r>
    <r>
      <rPr>
        <sz val="11"/>
        <color rgb="FF000000"/>
        <rFont val="맑은 고딕"/>
        <family val="3"/>
        <charset val="129"/>
      </rPr>
      <t xml:space="preserve"> 창호</t>
    </r>
    <r>
      <rPr>
        <sz val="11"/>
        <color rgb="FF000000"/>
        <rFont val="맑은 고딕"/>
      </rPr>
      <t>방수(실리콘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</si>
  <si>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>시스톤(불연천정판)</t>
  </si>
  <si>
    <t>M-Bar      9*300*600</t>
  </si>
  <si>
    <t>거래583</t>
  </si>
  <si>
    <t>3. 방수공사</t>
    <phoneticPr fontId="7" type="noConversion"/>
  </si>
  <si>
    <t>4. 기타공사</t>
    <phoneticPr fontId="7" type="noConversion"/>
  </si>
  <si>
    <r>
      <t>화재감기지 철거</t>
    </r>
    <r>
      <rPr>
        <sz val="11"/>
        <color rgb="FF000000"/>
        <rFont val="맑은 고딕"/>
        <family val="3"/>
        <charset val="129"/>
      </rPr>
      <t xml:space="preserve"> 후 재설치</t>
    </r>
    <phoneticPr fontId="7" type="noConversion"/>
  </si>
  <si>
    <r>
      <t>(재활용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</si>
  <si>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r>
      <t>E</t>
    </r>
    <r>
      <rPr>
        <sz val="11"/>
        <color rgb="FF000000"/>
        <rFont val="맑은 고딕"/>
        <family val="3"/>
        <charset val="129"/>
      </rPr>
      <t>A</t>
    </r>
    <phoneticPr fontId="7" type="noConversion"/>
  </si>
  <si>
    <t>집중국9, 물류지원단2</t>
    <phoneticPr fontId="7" type="noConversion"/>
  </si>
  <si>
    <t>화재감기지 철거 후 재설치</t>
  </si>
  <si>
    <r>
      <t>적산1</t>
    </r>
    <r>
      <rPr>
        <sz val="11"/>
        <color rgb="FF000000"/>
        <rFont val="맑은 고딕"/>
        <family val="3"/>
        <charset val="129"/>
      </rPr>
      <t>074</t>
    </r>
    <phoneticPr fontId="7" type="noConversion"/>
  </si>
  <si>
    <t>내선전공,재활용</t>
    <phoneticPr fontId="7" type="noConversion"/>
  </si>
  <si>
    <t>244.87+81.88+(물류지원단:16*6)+(제어동계단실:3*6)</t>
    <phoneticPr fontId="7" type="noConversion"/>
  </si>
  <si>
    <t>바탕처리</t>
  </si>
  <si>
    <t>지붕 방수면 및 배수로 청소</t>
  </si>
  <si>
    <t>IPALG 트라이슈머 단열복합시트 방수</t>
  </si>
  <si>
    <t>조립식 판넬, Standard</t>
  </si>
  <si>
    <t>샌드위치판넬</t>
  </si>
  <si>
    <t>50T</t>
  </si>
  <si>
    <t>샌드위치(단열)판넬설치</t>
  </si>
  <si>
    <t>지붕</t>
  </si>
  <si>
    <r>
      <t>공조실 환기구</t>
    </r>
    <r>
      <rPr>
        <sz val="11"/>
        <color rgb="FF000000"/>
        <rFont val="맑은 고딕"/>
        <family val="3"/>
        <charset val="129"/>
      </rPr>
      <t>:3.5*4*2*2</t>
    </r>
    <phoneticPr fontId="7" type="noConversion"/>
  </si>
  <si>
    <t>건축18-2-1.3</t>
  </si>
  <si>
    <t>크레인(트럭)</t>
  </si>
  <si>
    <t xml:space="preserve"> 20 TON</t>
  </si>
  <si>
    <t>중기 10호</t>
  </si>
  <si>
    <t>합  계</t>
  </si>
  <si>
    <t>일위02호</t>
    <phoneticPr fontId="7" type="noConversion"/>
  </si>
  <si>
    <t>샌드위치(단열)판넬설치</t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</si>
  <si>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2호</t>
    </r>
    <phoneticPr fontId="7" type="noConversion"/>
  </si>
  <si>
    <t>우레탄방수</t>
  </si>
  <si>
    <t>바닥3mm, 노출</t>
  </si>
  <si>
    <t>벽3mm, 노출</t>
  </si>
  <si>
    <t>(2.7+6.8+2.4+29+2.7)*(0.5*2+0.6)+3.5*0.8</t>
    <phoneticPr fontId="7" type="noConversion"/>
  </si>
  <si>
    <t>우레탄방수제</t>
  </si>
  <si>
    <t>우레탄(노출)</t>
  </si>
  <si>
    <t>마감코팅제</t>
  </si>
  <si>
    <t>프라이머</t>
  </si>
  <si>
    <t>희석재</t>
  </si>
  <si>
    <t>우레탄방수  바닥3mm, 노출  M2  건축 13-5</t>
    <phoneticPr fontId="7" type="noConversion"/>
  </si>
  <si>
    <t>우레탄방수  벽3mm, 노출  M2  건축 13-5</t>
    <phoneticPr fontId="7" type="noConversion"/>
  </si>
  <si>
    <t>일위03호</t>
    <phoneticPr fontId="7" type="noConversion"/>
  </si>
  <si>
    <t>일위04호</t>
    <phoneticPr fontId="7" type="noConversion"/>
  </si>
  <si>
    <t>3. 방수공사</t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</si>
  <si>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3호</t>
    </r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</si>
  <si>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4호</t>
    </r>
    <phoneticPr fontId="7" type="noConversion"/>
  </si>
  <si>
    <t>청소</t>
  </si>
  <si>
    <t>표준품셈</t>
  </si>
  <si>
    <t>일위05호</t>
    <phoneticPr fontId="7" type="noConversion"/>
  </si>
  <si>
    <t>바탕처리</t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</si>
  <si>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5호</t>
    </r>
    <phoneticPr fontId="7" type="noConversion"/>
  </si>
  <si>
    <t>물가자료 부록</t>
  </si>
  <si>
    <t>IPALG 조인트용 실란트</t>
  </si>
  <si>
    <t>IPALG 조인트용 접착제</t>
  </si>
  <si>
    <t>IPALG 트라이슈머 단열베이스카펫</t>
  </si>
  <si>
    <t>IPALG 트라이슈머 단열복합시트</t>
  </si>
  <si>
    <t>IPALG 트라이슈머 TOP</t>
  </si>
  <si>
    <t>IPALG 트라이슈머 단열복합시트 방수</t>
    <phoneticPr fontId="7" type="noConversion"/>
  </si>
  <si>
    <t>일위06호</t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</si>
  <si>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6호</t>
    </r>
    <phoneticPr fontId="7" type="noConversion"/>
  </si>
  <si>
    <t>상자홈통해체후재설치</t>
  </si>
  <si>
    <t>기존자재사용,철물신설</t>
  </si>
  <si>
    <r>
      <t>도착3</t>
    </r>
    <r>
      <rPr>
        <sz val="11"/>
        <color rgb="FF000000"/>
        <rFont val="맑은 고딕"/>
        <family val="3"/>
        <charset val="129"/>
      </rPr>
      <t>,발송3</t>
    </r>
    <phoneticPr fontId="7" type="noConversion"/>
  </si>
  <si>
    <t>건축13-2-4</t>
  </si>
  <si>
    <t>일반철물</t>
  </si>
  <si>
    <t>선홈통지지철물, 스텐</t>
  </si>
  <si>
    <t>일위07호</t>
    <phoneticPr fontId="7" type="noConversion"/>
  </si>
  <si>
    <t>상자홈통해체후재설치</t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</si>
  <si>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7호</t>
    </r>
    <phoneticPr fontId="7" type="noConversion"/>
  </si>
  <si>
    <t>실링재</t>
  </si>
  <si>
    <t>실리콘(비초산),유리용,창호주위</t>
  </si>
  <si>
    <t>일위08호</t>
    <phoneticPr fontId="7" type="noConversion"/>
  </si>
  <si>
    <t>(1.9+3)*2</t>
    <phoneticPr fontId="7" type="noConversion"/>
  </si>
  <si>
    <r>
      <t>6</t>
    </r>
    <r>
      <rPr>
        <sz val="11"/>
        <color rgb="FF000000"/>
        <rFont val="맑은 고딕"/>
        <family val="3"/>
        <charset val="129"/>
      </rPr>
      <t>-AG:1개소</t>
    </r>
    <phoneticPr fontId="7" type="noConversion"/>
  </si>
  <si>
    <r>
      <t>8</t>
    </r>
    <r>
      <rPr>
        <sz val="11"/>
        <color rgb="FF000000"/>
        <rFont val="맑은 고딕"/>
        <family val="3"/>
        <charset val="129"/>
      </rPr>
      <t>-AW:1개소</t>
    </r>
    <phoneticPr fontId="7" type="noConversion"/>
  </si>
  <si>
    <t>9-AW:1개소</t>
    <phoneticPr fontId="7" type="noConversion"/>
  </si>
  <si>
    <t>(53-3)*2+2.35*7</t>
    <phoneticPr fontId="7" type="noConversion"/>
  </si>
  <si>
    <t>10-AW:8개소</t>
    <phoneticPr fontId="7" type="noConversion"/>
  </si>
  <si>
    <t>10A-AW:2개소</t>
    <phoneticPr fontId="7" type="noConversion"/>
  </si>
  <si>
    <t>10B-AW:2개소</t>
    <phoneticPr fontId="7" type="noConversion"/>
  </si>
  <si>
    <t>(1+10.77)*2*8</t>
    <phoneticPr fontId="7" type="noConversion"/>
  </si>
  <si>
    <t>((1+(2.45+0.8+2.3))*2+1*2)*2</t>
    <phoneticPr fontId="7" type="noConversion"/>
  </si>
  <si>
    <t>((1+(2.25+2.3))*2+1)*2</t>
    <phoneticPr fontId="7" type="noConversion"/>
  </si>
  <si>
    <t>11-AW:2개소</t>
    <phoneticPr fontId="7" type="noConversion"/>
  </si>
  <si>
    <t>12-AW:2개소</t>
    <phoneticPr fontId="7" type="noConversion"/>
  </si>
  <si>
    <t>(2+3.15)*2*2</t>
    <phoneticPr fontId="7" type="noConversion"/>
  </si>
  <si>
    <t>(2+3)*2*2</t>
    <phoneticPr fontId="7" type="noConversion"/>
  </si>
  <si>
    <r>
      <t>&lt;합계</t>
    </r>
    <r>
      <rPr>
        <sz val="11"/>
        <color rgb="FF000000"/>
        <rFont val="맑은 고딕"/>
        <family val="3"/>
        <charset val="129"/>
      </rPr>
      <t>&gt;</t>
    </r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</si>
  <si>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8호</t>
    </r>
    <phoneticPr fontId="7" type="noConversion"/>
  </si>
  <si>
    <t>유리끼우기코킹</t>
  </si>
  <si>
    <t>실리콘,유리용-양면</t>
  </si>
  <si>
    <t>(53-3)*2+2.35*50*2</t>
    <phoneticPr fontId="7" type="noConversion"/>
  </si>
  <si>
    <t>(1*6+10.77*2)*8</t>
    <phoneticPr fontId="7" type="noConversion"/>
  </si>
  <si>
    <t>((1+2.3)*2+(1+2.45)*2)*2</t>
    <phoneticPr fontId="7" type="noConversion"/>
  </si>
  <si>
    <t>((3.25+2.3)*2+1*3)*2</t>
    <phoneticPr fontId="7" type="noConversion"/>
  </si>
  <si>
    <t>실리콘(초산), 유리용</t>
  </si>
  <si>
    <t>일위09호</t>
    <phoneticPr fontId="7" type="noConversion"/>
  </si>
  <si>
    <t>유리끼우기코킹  실리콘,유리용-양면  M  건축 13-12-1</t>
    <phoneticPr fontId="7" type="noConversion"/>
  </si>
  <si>
    <r>
      <t>일위0</t>
    </r>
    <r>
      <rPr>
        <sz val="11"/>
        <color rgb="FF000000"/>
        <rFont val="맑은 고딕"/>
        <family val="3"/>
        <charset val="129"/>
      </rPr>
      <t>9호</t>
    </r>
    <phoneticPr fontId="7" type="noConversion"/>
  </si>
  <si>
    <t>6*3+3*6+4*12+2.7*9</t>
    <phoneticPr fontId="7" type="noConversion"/>
  </si>
  <si>
    <t>(6+3)*2*1+(3+6)*2*0.8+(4+12)*2*0.8+(2.7+9)*2*0.6</t>
    <phoneticPr fontId="7" type="noConversion"/>
  </si>
  <si>
    <t>(3+1.2)*2*3</t>
    <phoneticPr fontId="7" type="noConversion"/>
  </si>
  <si>
    <t>지원동 주방</t>
    <phoneticPr fontId="7" type="noConversion"/>
  </si>
  <si>
    <t>(3*6+1.2*3*2)</t>
    <phoneticPr fontId="7" type="noConversion"/>
  </si>
  <si>
    <t>창호주위코킹(10mm각)</t>
  </si>
  <si>
    <t>실리콘(양면)</t>
  </si>
  <si>
    <t>수밀코킹(10mm각)  실리콘,창호주위(양면)  M  건축 13-12-1</t>
    <phoneticPr fontId="7" type="noConversion"/>
  </si>
  <si>
    <t xml:space="preserve"> [ 소          계 ]</t>
    <phoneticPr fontId="7" type="noConversion"/>
  </si>
  <si>
    <r>
      <t>(양면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</si>
  <si>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 xml:space="preserve"> [ 합          계 ]</t>
    <phoneticPr fontId="7" type="noConversion"/>
  </si>
  <si>
    <t xml:space="preserve"> [ 합          계 ]</t>
    <phoneticPr fontId="7" type="noConversion"/>
  </si>
  <si>
    <r>
      <t>(양면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</si>
  <si>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>갈바아닐강판</t>
  </si>
  <si>
    <t>갈바아닐강판</t>
    <phoneticPr fontId="7" type="noConversion"/>
  </si>
  <si>
    <r>
      <t>0</t>
    </r>
    <r>
      <rPr>
        <sz val="11"/>
        <color rgb="FF000000"/>
        <rFont val="맑은 고딕"/>
        <family val="3"/>
        <charset val="129"/>
      </rPr>
      <t>.3mm, 2.48kg/㎡</t>
    </r>
    <phoneticPr fontId="7" type="noConversion"/>
  </si>
  <si>
    <r>
      <t>M</t>
    </r>
    <r>
      <rPr>
        <sz val="11"/>
        <color rgb="FF000000"/>
        <rFont val="맑은 고딕"/>
        <family val="3"/>
        <charset val="129"/>
      </rPr>
      <t>2</t>
    </r>
    <phoneticPr fontId="7" type="noConversion"/>
  </si>
  <si>
    <t>0.3mm, 2.48kg/㎡</t>
  </si>
  <si>
    <r>
      <t>거래5</t>
    </r>
    <r>
      <rPr>
        <sz val="11"/>
        <color rgb="FF000000"/>
        <rFont val="맑은 고딕"/>
        <family val="3"/>
        <charset val="129"/>
      </rPr>
      <t>2</t>
    </r>
    <phoneticPr fontId="7" type="noConversion"/>
  </si>
  <si>
    <t>톤</t>
  </si>
  <si>
    <t>잡철물제작설치(철제)  간단  톤  건축 15-6   ( 호표 299 )</t>
  </si>
  <si>
    <t>연강용 피복아크 용접봉</t>
  </si>
  <si>
    <t>Φ3.2mm, CR-13</t>
  </si>
  <si>
    <t>기체</t>
  </si>
  <si>
    <t>아세틸렌 가스(835L)</t>
  </si>
  <si>
    <t>98%용접용</t>
  </si>
  <si>
    <t>용접기(교류)</t>
  </si>
  <si>
    <t>500A</t>
  </si>
  <si>
    <t>공통자재</t>
  </si>
  <si>
    <t>KWH</t>
  </si>
  <si>
    <t>일위10호</t>
    <phoneticPr fontId="7" type="noConversion"/>
  </si>
  <si>
    <r>
      <t>4</t>
    </r>
    <r>
      <rPr>
        <sz val="11"/>
        <color rgb="FF000000"/>
        <rFont val="맑은 고딕"/>
        <family val="3"/>
        <charset val="129"/>
      </rPr>
      <t>.5*2.48*0.001</t>
    </r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</si>
  <si>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0호</t>
    </r>
    <phoneticPr fontId="7" type="noConversion"/>
  </si>
  <si>
    <t>주방창틀 하부방수:3*0.5*3</t>
    <phoneticPr fontId="7" type="noConversion"/>
  </si>
  <si>
    <t>그라우팅</t>
  </si>
  <si>
    <t>균열보수</t>
  </si>
  <si>
    <t>아크릴탄성크랙카바재</t>
  </si>
  <si>
    <t>AC-100</t>
  </si>
  <si>
    <t>수중용에폭시실링재</t>
  </si>
  <si>
    <t>조이너 W</t>
  </si>
  <si>
    <t>발포우레탄지수재(1차)</t>
  </si>
  <si>
    <t>UF-1</t>
  </si>
  <si>
    <t>고강도우레탄지수재(2차)</t>
  </si>
  <si>
    <t>UF-1001</t>
  </si>
  <si>
    <t>PACKER</t>
  </si>
  <si>
    <t>10*60mm</t>
  </si>
  <si>
    <t>재료비의3%</t>
  </si>
  <si>
    <t>인건비의2%</t>
  </si>
  <si>
    <t>일위11호</t>
    <phoneticPr fontId="7" type="noConversion"/>
  </si>
  <si>
    <t>그라우팅</t>
    <phoneticPr fontId="7" type="noConversion"/>
  </si>
  <si>
    <t>식당:6.6+노물관리실4</t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</si>
  <si>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1호</t>
    </r>
    <phoneticPr fontId="7" type="noConversion"/>
  </si>
  <si>
    <t>[  소          계   ]</t>
    <phoneticPr fontId="7" type="noConversion"/>
  </si>
  <si>
    <t>공사명 : 전주우편집중국 석면철거 보수공사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</si>
</sst>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.00_ "/>
    <numFmt numFmtId="177" formatCode="#,##0_ "/>
    <numFmt numFmtId="178" formatCode="0.000_);[Red]\(0.000\)"/>
    <numFmt numFmtId="179" formatCode="#,##0_);[Red]\(#,##0\)"/>
    <numFmt numFmtId="180" formatCode="0.00_);[Red]\(0.00\)"/>
  </numFmts>
  <fonts count="10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DE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60">
    <xf numFmtId="0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2" borderId="1" xfId="0" applyNumberFormat="1" applyFill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>
      <alignment vertical="center"/>
    </xf>
    <xf numFmtId="0" fontId="0" fillId="0" borderId="1" xfId="0" applyNumberFormat="1" applyBorder="1" applyAlignment="1">
      <alignment vertical="center" wrapText="1"/>
    </xf>
    <xf numFmtId="41" fontId="0" fillId="0" borderId="1" xfId="1" applyNumberFormat="1" applyFont="1" applyBorder="1">
      <alignment vertical="center"/>
    </xf>
    <xf numFmtId="41" fontId="0" fillId="2" borderId="1" xfId="1" applyNumberFormat="1" applyFont="1" applyFill="1" applyBorder="1">
      <alignment vertical="center"/>
    </xf>
    <xf numFmtId="0" fontId="0" fillId="0" borderId="2" xfId="0" applyNumberFormat="1" applyBorder="1" applyAlignment="1">
      <alignment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3" borderId="1" xfId="0" applyNumberFormat="1" applyFont="1" applyFill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0" fontId="0" fillId="0" borderId="0" xfId="0" applyNumberFormat="1" applyAlignment="1">
      <alignment horizontal="right" vertical="center"/>
    </xf>
    <xf numFmtId="0" fontId="2" fillId="2" borderId="1" xfId="0" applyNumberFormat="1" applyFont="1" applyFill="1" applyBorder="1">
      <alignment vertical="center"/>
    </xf>
    <xf numFmtId="41" fontId="2" fillId="2" borderId="1" xfId="1" applyNumberFormat="1" applyFont="1" applyFill="1" applyBorder="1">
      <alignment vertical="center"/>
    </xf>
    <xf numFmtId="41" fontId="0" fillId="2" borderId="1" xfId="1" applyNumberFormat="1" applyFont="1" applyFill="1" applyBorder="1">
      <alignment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0" fontId="0" fillId="0" borderId="3" xfId="0" applyNumberFormat="1" applyBorder="1">
      <alignment vertical="center"/>
    </xf>
    <xf numFmtId="41" fontId="0" fillId="0" borderId="3" xfId="1" applyNumberFormat="1" applyFont="1" applyBorder="1">
      <alignment vertical="center"/>
    </xf>
    <xf numFmtId="0" fontId="0" fillId="0" borderId="4" xfId="0" applyNumberFormat="1" applyBorder="1">
      <alignment vertical="center"/>
    </xf>
    <xf numFmtId="41" fontId="0" fillId="0" borderId="4" xfId="1" applyNumberFormat="1" applyFont="1" applyBorder="1">
      <alignment vertical="center"/>
    </xf>
    <xf numFmtId="0" fontId="0" fillId="0" borderId="5" xfId="0" applyNumberFormat="1" applyBorder="1">
      <alignment vertical="center"/>
    </xf>
    <xf numFmtId="41" fontId="0" fillId="0" borderId="5" xfId="1" applyNumberFormat="1" applyFont="1" applyBorder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>
      <alignment vertical="center"/>
    </xf>
    <xf numFmtId="0" fontId="0" fillId="0" borderId="1" xfId="0" applyNumberFormat="1" applyFill="1" applyBorder="1">
      <alignment vertical="center"/>
    </xf>
    <xf numFmtId="41" fontId="0" fillId="0" borderId="1" xfId="1" applyNumberFormat="1" applyFont="1" applyFill="1" applyBorder="1">
      <alignment vertical="center"/>
    </xf>
    <xf numFmtId="0" fontId="0" fillId="0" borderId="0" xfId="0" applyNumberFormat="1" applyFill="1">
      <alignment vertical="center"/>
    </xf>
    <xf numFmtId="41" fontId="0" fillId="5" borderId="1" xfId="1" applyNumberFormat="1" applyFont="1" applyFill="1" applyBorder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41" fontId="0" fillId="0" borderId="1" xfId="1" applyNumberFormat="1" applyFont="1" applyFill="1" applyBorder="1" applyAlignment="1" applyProtection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77" fontId="0" fillId="0" borderId="1" xfId="1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0" fillId="2" borderId="7" xfId="0" applyNumberFormat="1" applyFont="1" applyFill="1" applyBorder="1" applyAlignment="1" applyProtection="1">
      <alignment vertical="center"/>
    </xf>
    <xf numFmtId="0" fontId="0" fillId="2" borderId="8" xfId="0" applyNumberFormat="1" applyFont="1" applyFill="1" applyBorder="1" applyAlignment="1" applyProtection="1">
      <alignment vertical="center"/>
    </xf>
    <xf numFmtId="178" fontId="0" fillId="0" borderId="0" xfId="0" applyNumberFormat="1" applyFont="1" applyFill="1" applyBorder="1" applyAlignment="1" applyProtection="1">
      <alignment horizontal="right" vertical="center"/>
    </xf>
    <xf numFmtId="178" fontId="0" fillId="0" borderId="2" xfId="0" applyNumberFormat="1" applyFont="1" applyFill="1" applyBorder="1" applyAlignment="1" applyProtection="1">
      <alignment horizontal="right" vertical="center"/>
    </xf>
    <xf numFmtId="178" fontId="0" fillId="0" borderId="1" xfId="1" applyNumberFormat="1" applyFont="1" applyFill="1" applyBorder="1" applyAlignment="1" applyProtection="1">
      <alignment horizontal="right" vertical="center"/>
    </xf>
    <xf numFmtId="178" fontId="0" fillId="2" borderId="1" xfId="1" applyNumberFormat="1" applyFont="1" applyFill="1" applyBorder="1" applyAlignment="1" applyProtection="1">
      <alignment horizontal="right" vertical="center"/>
    </xf>
    <xf numFmtId="178" fontId="0" fillId="0" borderId="1" xfId="1" quotePrefix="1" applyNumberFormat="1" applyFont="1" applyFill="1" applyBorder="1" applyAlignment="1" applyProtection="1">
      <alignment horizontal="right" vertical="center"/>
    </xf>
    <xf numFmtId="0" fontId="0" fillId="0" borderId="7" xfId="0" applyNumberFormat="1" applyFont="1" applyFill="1" applyBorder="1" applyAlignment="1" applyProtection="1">
      <alignment vertical="center"/>
    </xf>
    <xf numFmtId="0" fontId="0" fillId="0" borderId="8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179" fontId="0" fillId="0" borderId="1" xfId="0" applyNumberFormat="1" applyFont="1" applyFill="1" applyBorder="1" applyAlignment="1" applyProtection="1">
      <alignment vertical="center"/>
    </xf>
    <xf numFmtId="179" fontId="0" fillId="2" borderId="1" xfId="1" applyNumberFormat="1" applyFont="1" applyFill="1" applyBorder="1" applyAlignment="1" applyProtection="1">
      <alignment vertical="center"/>
    </xf>
    <xf numFmtId="179" fontId="0" fillId="5" borderId="1" xfId="1" applyNumberFormat="1" applyFont="1" applyFill="1" applyBorder="1" applyAlignment="1" applyProtection="1">
      <alignment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0" fontId="0" fillId="0" borderId="6" xfId="0" applyNumberFormat="1" applyFont="1" applyBorder="1" applyAlignment="1">
      <alignment vertical="center" wrapText="1"/>
    </xf>
    <xf numFmtId="14" fontId="0" fillId="0" borderId="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179" fontId="0" fillId="0" borderId="1" xfId="1" applyNumberFormat="1" applyFont="1" applyFill="1" applyBorder="1" applyAlignment="1" applyProtection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178" fontId="0" fillId="2" borderId="1" xfId="1" applyNumberFormat="1" applyFont="1" applyFill="1" applyBorder="1" applyAlignment="1" applyProtection="1">
      <alignment horizontal="right" vertical="center"/>
    </xf>
    <xf numFmtId="41" fontId="0" fillId="0" borderId="1" xfId="0" applyNumberFormat="1" applyFont="1" applyFill="1" applyBorder="1" applyAlignment="1" applyProtection="1">
      <alignment vertical="center"/>
    </xf>
    <xf numFmtId="177" fontId="0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vertical="center"/>
    </xf>
    <xf numFmtId="179" fontId="0" fillId="5" borderId="1" xfId="1" applyNumberFormat="1" applyFont="1" applyFill="1" applyBorder="1" applyAlignment="1" applyProtection="1">
      <alignment vertical="center"/>
    </xf>
    <xf numFmtId="179" fontId="0" fillId="2" borderId="1" xfId="1" applyNumberFormat="1" applyFont="1" applyFill="1" applyBorder="1" applyAlignment="1" applyProtection="1">
      <alignment vertical="center"/>
    </xf>
    <xf numFmtId="179" fontId="0" fillId="2" borderId="1" xfId="0" applyNumberFormat="1" applyFont="1" applyFill="1" applyBorder="1" applyAlignment="1" applyProtection="1">
      <alignment vertical="center"/>
    </xf>
    <xf numFmtId="41" fontId="0" fillId="2" borderId="1" xfId="1" applyNumberFormat="1" applyFont="1" applyFill="1" applyBorder="1" applyAlignment="1" applyProtection="1">
      <alignment vertical="center"/>
    </xf>
    <xf numFmtId="41" fontId="0" fillId="5" borderId="1" xfId="1" applyNumberFormat="1" applyFont="1" applyFill="1" applyBorder="1" applyAlignment="1" applyProtection="1">
      <alignment vertical="center"/>
    </xf>
    <xf numFmtId="41" fontId="8" fillId="0" borderId="1" xfId="1" applyNumberFormat="1" applyFont="1" applyBorder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178" fontId="8" fillId="0" borderId="1" xfId="0" applyNumberFormat="1" applyFont="1" applyFill="1" applyBorder="1" applyAlignment="1" applyProtection="1">
      <alignment horizontal="right" vertical="center"/>
    </xf>
    <xf numFmtId="179" fontId="8" fillId="0" borderId="1" xfId="0" applyNumberFormat="1" applyFont="1" applyFill="1" applyBorder="1" applyAlignment="1" applyProtection="1">
      <alignment vertical="center"/>
    </xf>
    <xf numFmtId="41" fontId="8" fillId="0" borderId="1" xfId="1" applyNumberFormat="1" applyFont="1" applyFill="1" applyBorder="1">
      <alignment vertical="center"/>
    </xf>
    <xf numFmtId="0" fontId="1" fillId="0" borderId="1" xfId="0" applyNumberFormat="1" applyFont="1" applyBorder="1" applyAlignment="1">
      <alignment vertical="center" wrapText="1"/>
    </xf>
    <xf numFmtId="0" fontId="1" fillId="0" borderId="0" xfId="0" applyNumberFormat="1" applyFont="1">
      <alignment vertical="center"/>
    </xf>
    <xf numFmtId="0" fontId="9" fillId="0" borderId="1" xfId="0" applyNumberFormat="1" applyFont="1" applyFill="1" applyBorder="1" applyAlignment="1" applyProtection="1">
      <alignment vertical="center"/>
    </xf>
    <xf numFmtId="178" fontId="8" fillId="0" borderId="1" xfId="1" applyNumberFormat="1" applyFont="1" applyFill="1" applyBorder="1" applyAlignment="1" applyProtection="1">
      <alignment horizontal="right" vertical="center"/>
    </xf>
    <xf numFmtId="41" fontId="8" fillId="0" borderId="1" xfId="1" applyNumberFormat="1" applyFont="1" applyFill="1" applyBorder="1" applyAlignment="1" applyProtection="1">
      <alignment vertical="center"/>
    </xf>
    <xf numFmtId="0" fontId="8" fillId="0" borderId="0" xfId="0" applyNumberFormat="1" applyFont="1" applyFill="1">
      <alignment vertical="center"/>
    </xf>
    <xf numFmtId="0" fontId="8" fillId="2" borderId="7" xfId="0" applyNumberFormat="1" applyFont="1" applyFill="1" applyBorder="1" applyAlignment="1" applyProtection="1">
      <alignment vertical="center"/>
    </xf>
    <xf numFmtId="0" fontId="8" fillId="2" borderId="8" xfId="0" applyNumberFormat="1" applyFont="1" applyFill="1" applyBorder="1" applyAlignment="1" applyProtection="1">
      <alignment vertical="center"/>
    </xf>
    <xf numFmtId="0" fontId="8" fillId="2" borderId="1" xfId="0" applyNumberFormat="1" applyFont="1" applyFill="1" applyBorder="1" applyAlignment="1" applyProtection="1">
      <alignment vertical="center"/>
    </xf>
    <xf numFmtId="0" fontId="8" fillId="2" borderId="1" xfId="0" applyNumberFormat="1" applyFont="1" applyFill="1" applyBorder="1" applyAlignment="1">
      <alignment horizontal="center" vertical="center"/>
    </xf>
    <xf numFmtId="178" fontId="8" fillId="2" borderId="1" xfId="1" applyNumberFormat="1" applyFont="1" applyFill="1" applyBorder="1" applyAlignment="1" applyProtection="1">
      <alignment horizontal="right" vertical="center"/>
    </xf>
    <xf numFmtId="41" fontId="8" fillId="2" borderId="1" xfId="1" applyNumberFormat="1" applyFont="1" applyFill="1" applyBorder="1">
      <alignment vertical="center"/>
    </xf>
    <xf numFmtId="41" fontId="8" fillId="5" borderId="1" xfId="1" applyNumberFormat="1" applyFont="1" applyFill="1" applyBorder="1">
      <alignment vertical="center"/>
    </xf>
    <xf numFmtId="0" fontId="8" fillId="2" borderId="1" xfId="0" applyNumberFormat="1" applyFont="1" applyFill="1" applyBorder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4" borderId="11" xfId="0" applyNumberFormat="1" applyFill="1" applyBorder="1" applyAlignment="1">
      <alignment vertical="center"/>
    </xf>
    <xf numFmtId="0" fontId="0" fillId="4" borderId="12" xfId="0" applyNumberFormat="1" applyFill="1" applyBorder="1" applyAlignment="1">
      <alignment vertical="center"/>
    </xf>
    <xf numFmtId="0" fontId="0" fillId="4" borderId="13" xfId="0" applyNumberFormat="1" applyFill="1" applyBorder="1" applyAlignment="1">
      <alignment vertical="center"/>
    </xf>
    <xf numFmtId="0" fontId="0" fillId="4" borderId="14" xfId="0" applyNumberFormat="1" applyFill="1" applyBorder="1" applyAlignment="1">
      <alignment vertical="center"/>
    </xf>
    <xf numFmtId="0" fontId="0" fillId="4" borderId="15" xfId="0" applyNumberFormat="1" applyFill="1" applyBorder="1" applyAlignment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9" xfId="0" applyNumberFormat="1" applyBorder="1" applyAlignment="1">
      <alignment vertical="center" textRotation="255"/>
    </xf>
    <xf numFmtId="0" fontId="0" fillId="0" borderId="16" xfId="0" applyNumberFormat="1" applyBorder="1" applyAlignment="1">
      <alignment vertical="center" textRotation="255"/>
    </xf>
    <xf numFmtId="0" fontId="0" fillId="0" borderId="6" xfId="0" applyNumberFormat="1" applyBorder="1" applyAlignment="1">
      <alignment vertical="center" textRotation="255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4" borderId="10" xfId="0" applyNumberFormat="1" applyFill="1" applyBorder="1" applyAlignment="1">
      <alignment vertical="center" wrapText="1"/>
    </xf>
    <xf numFmtId="0" fontId="2" fillId="4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8" fontId="2" fillId="4" borderId="1" xfId="0" applyNumberFormat="1" applyFont="1" applyFill="1" applyBorder="1" applyAlignment="1" applyProtection="1">
      <alignment horizontal="center" vertical="center"/>
    </xf>
    <xf numFmtId="0" fontId="2" fillId="4" borderId="9" xfId="0" applyNumberFormat="1" applyFont="1" applyFill="1" applyBorder="1" applyAlignment="1" applyProtection="1">
      <alignment horizontal="center" vertical="center"/>
    </xf>
    <xf numFmtId="0" fontId="2" fillId="4" borderId="17" xfId="0" applyNumberFormat="1" applyFont="1" applyFill="1" applyBorder="1" applyAlignment="1" applyProtection="1">
      <alignment horizontal="center" vertical="center"/>
    </xf>
    <xf numFmtId="0" fontId="2" fillId="4" borderId="16" xfId="0" applyNumberFormat="1" applyFont="1" applyFill="1" applyBorder="1" applyAlignment="1" applyProtection="1">
      <alignment horizontal="center" vertical="center"/>
    </xf>
    <xf numFmtId="0" fontId="2" fillId="4" borderId="1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>
      <alignment vertical="center"/>
    </xf>
    <xf numFmtId="0" fontId="0" fillId="0" borderId="19" xfId="0" applyNumberFormat="1" applyBorder="1" applyAlignment="1">
      <alignment horizontal="center" vertical="center"/>
    </xf>
    <xf numFmtId="0" fontId="0" fillId="0" borderId="19" xfId="0" applyNumberFormat="1" applyBorder="1">
      <alignment vertical="center"/>
    </xf>
    <xf numFmtId="0" fontId="0" fillId="0" borderId="19" xfId="0" applyNumberFormat="1" applyBorder="1" applyAlignment="1">
      <alignment vertical="center" wrapText="1"/>
    </xf>
    <xf numFmtId="0" fontId="2" fillId="6" borderId="7" xfId="0" applyNumberFormat="1" applyFont="1" applyFill="1" applyBorder="1">
      <alignment vertical="center"/>
    </xf>
    <xf numFmtId="0" fontId="0" fillId="6" borderId="19" xfId="0" applyNumberFormat="1" applyFill="1" applyBorder="1">
      <alignment vertical="center"/>
    </xf>
    <xf numFmtId="0" fontId="0" fillId="6" borderId="19" xfId="0" applyNumberFormat="1" applyFill="1" applyBorder="1" applyAlignment="1">
      <alignment vertical="center" wrapText="1"/>
    </xf>
    <xf numFmtId="0" fontId="0" fillId="6" borderId="8" xfId="0" applyNumberFormat="1" applyFill="1" applyBorder="1">
      <alignment vertical="center"/>
    </xf>
    <xf numFmtId="176" fontId="0" fillId="0" borderId="19" xfId="0" applyNumberFormat="1" applyBorder="1" applyAlignment="1">
      <alignment horizontal="center" vertical="center"/>
    </xf>
    <xf numFmtId="41" fontId="0" fillId="0" borderId="19" xfId="1" applyNumberFormat="1" applyFont="1" applyBorder="1">
      <alignment vertical="center"/>
    </xf>
    <xf numFmtId="0" fontId="3" fillId="6" borderId="7" xfId="0" applyNumberFormat="1" applyFont="1" applyFill="1" applyBorder="1">
      <alignment vertical="center"/>
    </xf>
    <xf numFmtId="176" fontId="0" fillId="6" borderId="19" xfId="0" applyNumberFormat="1" applyFill="1" applyBorder="1" applyAlignment="1">
      <alignment horizontal="center" vertical="center"/>
    </xf>
    <xf numFmtId="41" fontId="0" fillId="6" borderId="19" xfId="1" applyNumberFormat="1" applyFont="1" applyFill="1" applyBorder="1">
      <alignment vertical="center"/>
    </xf>
    <xf numFmtId="0" fontId="0" fillId="6" borderId="8" xfId="0" applyNumberFormat="1" applyFill="1" applyBorder="1" applyAlignment="1">
      <alignment vertical="center" wrapText="1"/>
    </xf>
    <xf numFmtId="0" fontId="1" fillId="0" borderId="1" xfId="0" applyNumberFormat="1" applyFont="1" applyBorder="1" applyAlignment="1">
      <alignment horizontal="left" vertical="center" wrapText="1"/>
    </xf>
    <xf numFmtId="176" fontId="0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>
      <alignment vertical="center"/>
    </xf>
    <xf numFmtId="0" fontId="0" fillId="6" borderId="19" xfId="0" applyNumberForma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0" fillId="7" borderId="1" xfId="0" applyNumberFormat="1" applyFont="1" applyFill="1" applyBorder="1" applyAlignment="1">
      <alignment vertical="center" wrapText="1"/>
    </xf>
    <xf numFmtId="0" fontId="1" fillId="7" borderId="1" xfId="0" applyNumberFormat="1" applyFont="1" applyFill="1" applyBorder="1" applyAlignment="1">
      <alignment horizontal="left" vertical="center"/>
    </xf>
    <xf numFmtId="0" fontId="1" fillId="7" borderId="1" xfId="0" applyNumberFormat="1" applyFont="1" applyFill="1" applyBorder="1" applyAlignment="1">
      <alignment vertical="center"/>
    </xf>
    <xf numFmtId="0" fontId="1" fillId="2" borderId="8" xfId="0" applyNumberFormat="1" applyFont="1" applyFill="1" applyBorder="1" applyAlignment="1" applyProtection="1">
      <alignment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8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176" fontId="0" fillId="8" borderId="1" xfId="0" applyNumberFormat="1" applyFont="1" applyFill="1" applyBorder="1" applyAlignment="1">
      <alignment horizontal="center" vertical="center"/>
    </xf>
    <xf numFmtId="41" fontId="0" fillId="8" borderId="1" xfId="1" applyNumberFormat="1" applyFont="1" applyFill="1" applyBorder="1">
      <alignment vertical="center"/>
    </xf>
    <xf numFmtId="0" fontId="0" fillId="8" borderId="1" xfId="0" applyNumberFormat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9"/>
  <sheetViews>
    <sheetView tabSelected="1" view="pageBreakPreview" zoomScaleSheetLayoutView="100" workbookViewId="0">
      <selection activeCell="D29" sqref="D29"/>
    </sheetView>
  </sheetViews>
  <sheetFormatPr defaultColWidth="9" defaultRowHeight="16.5"/>
  <cols>
    <col min="1" max="1" width="13.125" customWidth="1"/>
    <col min="2" max="2" width="12" customWidth="1"/>
    <col min="3" max="3" width="20.625" bestFit="1" customWidth="1"/>
    <col min="4" max="4" width="42.25" customWidth="1"/>
    <col min="5" max="5" width="14.5" customWidth="1"/>
    <col min="6" max="6" width="17.75" customWidth="1"/>
  </cols>
  <sheetData>
    <row r="1" spans="1:6" ht="31.5">
      <c r="A1" s="108" t="s">
        <v>319</v>
      </c>
      <c r="B1" s="108"/>
      <c r="C1" s="108"/>
      <c r="D1" s="108"/>
      <c r="E1" s="108"/>
      <c r="F1" s="108"/>
    </row>
    <row r="2" spans="1:6">
      <c r="A2" s="128" t="s">
        <v>503</v>
      </c>
      <c r="B2" s="10"/>
      <c r="C2" s="10"/>
      <c r="D2" s="10"/>
      <c r="E2" s="10"/>
      <c r="F2" s="14" t="s">
        <v>17</v>
      </c>
    </row>
    <row r="3" spans="1:6">
      <c r="A3" s="120" t="s">
        <v>0</v>
      </c>
      <c r="B3" s="109"/>
      <c r="C3" s="110"/>
      <c r="D3" s="114" t="s">
        <v>13</v>
      </c>
      <c r="E3" s="114" t="s">
        <v>14</v>
      </c>
      <c r="F3" s="114" t="s">
        <v>34</v>
      </c>
    </row>
    <row r="4" spans="1:6">
      <c r="A4" s="111"/>
      <c r="B4" s="112"/>
      <c r="C4" s="113"/>
      <c r="D4" s="114"/>
      <c r="E4" s="114"/>
      <c r="F4" s="114"/>
    </row>
    <row r="5" spans="1:6">
      <c r="A5" s="115" t="s">
        <v>23</v>
      </c>
      <c r="B5" s="106" t="s">
        <v>53</v>
      </c>
      <c r="C5" s="27" t="s">
        <v>3</v>
      </c>
      <c r="D5" s="21" t="s">
        <v>56</v>
      </c>
      <c r="E5" s="22">
        <f>내역서!F34</f>
        <v>13756353.199999999</v>
      </c>
      <c r="F5" s="21" t="s">
        <v>56</v>
      </c>
    </row>
    <row r="6" spans="1:6">
      <c r="A6" s="116"/>
      <c r="B6" s="106"/>
      <c r="C6" s="28" t="s">
        <v>28</v>
      </c>
      <c r="D6" s="23" t="s">
        <v>56</v>
      </c>
      <c r="E6" s="24"/>
      <c r="F6" s="23" t="s">
        <v>56</v>
      </c>
    </row>
    <row r="7" spans="1:6">
      <c r="A7" s="116"/>
      <c r="B7" s="106"/>
      <c r="C7" s="29" t="s">
        <v>4</v>
      </c>
      <c r="D7" s="25" t="s">
        <v>56</v>
      </c>
      <c r="E7" s="26"/>
      <c r="F7" s="25" t="s">
        <v>56</v>
      </c>
    </row>
    <row r="8" spans="1:6">
      <c r="A8" s="116"/>
      <c r="B8" s="106"/>
      <c r="C8" s="18" t="s">
        <v>46</v>
      </c>
      <c r="D8" s="1" t="s">
        <v>56</v>
      </c>
      <c r="E8" s="43">
        <f>SUM(E5:E7)</f>
        <v>13756353.199999999</v>
      </c>
      <c r="F8" s="1" t="s">
        <v>56</v>
      </c>
    </row>
    <row r="9" spans="1:6">
      <c r="A9" s="116"/>
      <c r="B9" s="106" t="s">
        <v>55</v>
      </c>
      <c r="C9" s="27" t="s">
        <v>21</v>
      </c>
      <c r="D9" s="21" t="s">
        <v>56</v>
      </c>
      <c r="E9" s="22">
        <f>내역서!H34</f>
        <v>8688847.8808800001</v>
      </c>
      <c r="F9" s="21" t="s">
        <v>56</v>
      </c>
    </row>
    <row r="10" spans="1:6">
      <c r="A10" s="116"/>
      <c r="B10" s="106"/>
      <c r="C10" s="29" t="s">
        <v>24</v>
      </c>
      <c r="D10" s="25" t="s">
        <v>15</v>
      </c>
      <c r="E10" s="26">
        <f>E9*0.096</f>
        <v>834129.39656448003</v>
      </c>
      <c r="F10" s="25"/>
    </row>
    <row r="11" spans="1:6">
      <c r="A11" s="116"/>
      <c r="B11" s="106"/>
      <c r="C11" s="18" t="s">
        <v>44</v>
      </c>
      <c r="D11" s="1" t="s">
        <v>56</v>
      </c>
      <c r="E11" s="6">
        <f>SUM(E9:E10)</f>
        <v>9522977.27744448</v>
      </c>
      <c r="F11" s="1" t="s">
        <v>56</v>
      </c>
    </row>
    <row r="12" spans="1:6">
      <c r="A12" s="116"/>
      <c r="B12" s="106" t="s">
        <v>32</v>
      </c>
      <c r="C12" s="27" t="s">
        <v>45</v>
      </c>
      <c r="D12" s="21" t="s">
        <v>56</v>
      </c>
      <c r="E12" s="22">
        <f>내역서!J34</f>
        <v>1550685.8159999999</v>
      </c>
      <c r="F12" s="21" t="s">
        <v>56</v>
      </c>
    </row>
    <row r="13" spans="1:6">
      <c r="A13" s="116"/>
      <c r="B13" s="106"/>
      <c r="C13" s="28" t="s">
        <v>2</v>
      </c>
      <c r="D13" s="23" t="s">
        <v>7</v>
      </c>
      <c r="E13" s="24">
        <f>E11*0.038</f>
        <v>361873.13654289022</v>
      </c>
      <c r="F13" s="23" t="s">
        <v>56</v>
      </c>
    </row>
    <row r="14" spans="1:6">
      <c r="A14" s="116"/>
      <c r="B14" s="106"/>
      <c r="C14" s="28" t="s">
        <v>5</v>
      </c>
      <c r="D14" s="23" t="s">
        <v>11</v>
      </c>
      <c r="E14" s="24">
        <f>E11*0.0087</f>
        <v>82849.902313766972</v>
      </c>
      <c r="F14" s="23" t="s">
        <v>56</v>
      </c>
    </row>
    <row r="15" spans="1:6">
      <c r="A15" s="116"/>
      <c r="B15" s="106"/>
      <c r="C15" s="28" t="s">
        <v>1</v>
      </c>
      <c r="D15" s="23" t="s">
        <v>188</v>
      </c>
      <c r="E15" s="24"/>
      <c r="F15" s="23" t="s">
        <v>35</v>
      </c>
    </row>
    <row r="16" spans="1:6">
      <c r="A16" s="116"/>
      <c r="B16" s="106"/>
      <c r="C16" s="28" t="s">
        <v>22</v>
      </c>
      <c r="D16" s="23" t="s">
        <v>173</v>
      </c>
      <c r="E16" s="24"/>
      <c r="F16" s="23" t="s">
        <v>35</v>
      </c>
    </row>
    <row r="17" spans="1:6">
      <c r="A17" s="116"/>
      <c r="B17" s="106"/>
      <c r="C17" s="28" t="s">
        <v>9</v>
      </c>
      <c r="D17" s="23" t="s">
        <v>279</v>
      </c>
      <c r="E17" s="24">
        <f>E15*H17</f>
        <v>0</v>
      </c>
      <c r="F17" s="23" t="s">
        <v>35</v>
      </c>
    </row>
    <row r="18" spans="1:6">
      <c r="A18" s="116"/>
      <c r="B18" s="106"/>
      <c r="C18" s="28" t="s">
        <v>27</v>
      </c>
      <c r="D18" s="23" t="s">
        <v>168</v>
      </c>
      <c r="E18" s="24"/>
      <c r="F18" s="23" t="s">
        <v>33</v>
      </c>
    </row>
    <row r="19" spans="1:6">
      <c r="A19" s="116"/>
      <c r="B19" s="106"/>
      <c r="C19" s="28" t="s">
        <v>26</v>
      </c>
      <c r="D19" s="23" t="s">
        <v>283</v>
      </c>
      <c r="E19" s="24"/>
      <c r="F19" s="23" t="s">
        <v>38</v>
      </c>
    </row>
    <row r="20" spans="1:6">
      <c r="A20" s="116"/>
      <c r="B20" s="106"/>
      <c r="C20" s="28" t="s">
        <v>42</v>
      </c>
      <c r="D20" s="23" t="s">
        <v>6</v>
      </c>
      <c r="E20" s="24">
        <f>(E8+E11)*0.0303</f>
        <v>705363.71346656769</v>
      </c>
      <c r="F20" s="23" t="s">
        <v>56</v>
      </c>
    </row>
    <row r="21" spans="1:6">
      <c r="A21" s="116"/>
      <c r="B21" s="106"/>
      <c r="C21" s="29" t="s">
        <v>25</v>
      </c>
      <c r="D21" s="25" t="s">
        <v>49</v>
      </c>
      <c r="E21" s="26">
        <f>(E8+E9+E12)*0.003</f>
        <v>71987.660690639997</v>
      </c>
      <c r="F21" s="25" t="s">
        <v>56</v>
      </c>
    </row>
    <row r="22" spans="1:6">
      <c r="A22" s="116"/>
      <c r="B22" s="106"/>
      <c r="C22" s="18" t="s">
        <v>44</v>
      </c>
      <c r="D22" s="1" t="s">
        <v>56</v>
      </c>
      <c r="E22" s="6">
        <f>SUM(E12:E21)</f>
        <v>2772760.2290138649</v>
      </c>
      <c r="F22" s="1" t="s">
        <v>56</v>
      </c>
    </row>
    <row r="23" spans="1:6">
      <c r="A23" s="117"/>
      <c r="B23" s="118" t="s">
        <v>60</v>
      </c>
      <c r="C23" s="119"/>
      <c r="D23" s="1" t="s">
        <v>56</v>
      </c>
      <c r="E23" s="6">
        <f>E8+E11+E22</f>
        <v>26052090.706458341</v>
      </c>
      <c r="F23" s="1" t="s">
        <v>56</v>
      </c>
    </row>
    <row r="24" spans="1:6">
      <c r="A24" s="106" t="s">
        <v>30</v>
      </c>
      <c r="B24" s="106"/>
      <c r="C24" s="106"/>
      <c r="D24" s="1" t="s">
        <v>12</v>
      </c>
      <c r="E24" s="6">
        <f>E23*0.06</f>
        <v>1563125.4423875003</v>
      </c>
      <c r="F24" s="1"/>
    </row>
    <row r="25" spans="1:6">
      <c r="A25" s="106" t="s">
        <v>41</v>
      </c>
      <c r="B25" s="106"/>
      <c r="C25" s="106"/>
      <c r="D25" s="1" t="s">
        <v>29</v>
      </c>
      <c r="E25" s="6">
        <f>(E11+E22+E24)*0.1051</f>
        <v>1456566.4959236984</v>
      </c>
      <c r="F25" s="1"/>
    </row>
    <row r="26" spans="1:6">
      <c r="A26" s="106" t="s">
        <v>31</v>
      </c>
      <c r="B26" s="106"/>
      <c r="C26" s="106"/>
      <c r="D26" s="1" t="s">
        <v>56</v>
      </c>
      <c r="E26" s="6"/>
      <c r="F26" s="1" t="s">
        <v>56</v>
      </c>
    </row>
    <row r="27" spans="1:6">
      <c r="A27" s="106" t="s">
        <v>43</v>
      </c>
      <c r="B27" s="106"/>
      <c r="C27" s="106"/>
      <c r="D27" s="1" t="s">
        <v>56</v>
      </c>
      <c r="E27" s="6">
        <f>SUM(E23:E26)</f>
        <v>29071782.644769538</v>
      </c>
      <c r="F27" s="1" t="s">
        <v>56</v>
      </c>
    </row>
    <row r="28" spans="1:6">
      <c r="A28" s="106" t="s">
        <v>20</v>
      </c>
      <c r="B28" s="106"/>
      <c r="C28" s="106"/>
      <c r="D28" s="1" t="s">
        <v>8</v>
      </c>
      <c r="E28" s="6">
        <f>E27*0.1</f>
        <v>2907178.264476954</v>
      </c>
      <c r="F28" s="1" t="s">
        <v>56</v>
      </c>
    </row>
    <row r="29" spans="1:6">
      <c r="A29" s="107" t="s">
        <v>47</v>
      </c>
      <c r="B29" s="107"/>
      <c r="C29" s="107"/>
      <c r="D29" s="15" t="s">
        <v>56</v>
      </c>
      <c r="E29" s="16">
        <f>ROUNDDOWN(E28+E27,-3)</f>
        <v>31978000</v>
      </c>
      <c r="F29" s="15" t="s">
        <v>72</v>
      </c>
    </row>
  </sheetData>
  <mergeCells count="16">
    <mergeCell ref="A24:C24"/>
    <mergeCell ref="A1:F1"/>
    <mergeCell ref="A3:C4"/>
    <mergeCell ref="D3:D4"/>
    <mergeCell ref="E3:E4"/>
    <mergeCell ref="F3:F4"/>
    <mergeCell ref="A5:A23"/>
    <mergeCell ref="B5:B8"/>
    <mergeCell ref="B9:B11"/>
    <mergeCell ref="B12:B22"/>
    <mergeCell ref="B23:C23"/>
    <mergeCell ref="A25:C25"/>
    <mergeCell ref="A26:C26"/>
    <mergeCell ref="A27:C27"/>
    <mergeCell ref="A28:C28"/>
    <mergeCell ref="A29:C29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M34"/>
  <sheetViews>
    <sheetView view="pageBreakPreview" zoomScale="60" zoomScaleNormal="70" workbookViewId="0">
      <pane ySplit="4" topLeftCell="A8" activePane="bottomLeft" state="frozen"/>
      <selection pane="bottomLeft" activeCell="B31" sqref="B31"/>
    </sheetView>
  </sheetViews>
  <sheetFormatPr defaultColWidth="9" defaultRowHeight="16.5"/>
  <cols>
    <col min="1" max="1" width="36.875" customWidth="1"/>
    <col min="2" max="2" width="28" bestFit="1" customWidth="1"/>
    <col min="3" max="3" width="7" customWidth="1"/>
    <col min="4" max="4" width="9.75" style="30" bestFit="1" customWidth="1"/>
    <col min="5" max="5" width="11" bestFit="1" customWidth="1"/>
    <col min="6" max="6" width="13.625" bestFit="1" customWidth="1"/>
    <col min="7" max="7" width="12.375" bestFit="1" customWidth="1"/>
    <col min="8" max="8" width="12.625" bestFit="1" customWidth="1"/>
    <col min="9" max="9" width="10.625" bestFit="1" customWidth="1"/>
    <col min="10" max="11" width="12.375" bestFit="1" customWidth="1"/>
    <col min="12" max="12" width="13.625" bestFit="1" customWidth="1"/>
    <col min="13" max="13" width="10.5" customWidth="1"/>
  </cols>
  <sheetData>
    <row r="1" spans="1:13" ht="31.5">
      <c r="A1" s="108" t="s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>
      <c r="A2" s="128" t="s">
        <v>320</v>
      </c>
      <c r="B2" s="10"/>
      <c r="C2" s="10"/>
      <c r="E2" s="10"/>
      <c r="F2" s="10"/>
      <c r="G2" s="10"/>
      <c r="H2" s="10"/>
      <c r="I2" s="10"/>
      <c r="J2" s="10"/>
      <c r="K2" s="10"/>
      <c r="L2" s="10"/>
      <c r="M2" s="10" t="s">
        <v>17</v>
      </c>
    </row>
    <row r="3" spans="1:13">
      <c r="A3" s="121" t="s">
        <v>18</v>
      </c>
      <c r="B3" s="121" t="s">
        <v>19</v>
      </c>
      <c r="C3" s="121" t="s">
        <v>52</v>
      </c>
      <c r="D3" s="121" t="s">
        <v>64</v>
      </c>
      <c r="E3" s="121" t="s">
        <v>40</v>
      </c>
      <c r="F3" s="121"/>
      <c r="G3" s="121" t="s">
        <v>39</v>
      </c>
      <c r="H3" s="121"/>
      <c r="I3" s="121" t="s">
        <v>16</v>
      </c>
      <c r="J3" s="121"/>
      <c r="K3" s="121" t="s">
        <v>10</v>
      </c>
      <c r="L3" s="121"/>
      <c r="M3" s="121" t="s">
        <v>57</v>
      </c>
    </row>
    <row r="4" spans="1:13">
      <c r="A4" s="121"/>
      <c r="B4" s="121"/>
      <c r="C4" s="121"/>
      <c r="D4" s="121"/>
      <c r="E4" s="9" t="s">
        <v>36</v>
      </c>
      <c r="F4" s="9" t="s">
        <v>37</v>
      </c>
      <c r="G4" s="9" t="s">
        <v>36</v>
      </c>
      <c r="H4" s="9" t="s">
        <v>37</v>
      </c>
      <c r="I4" s="9" t="s">
        <v>36</v>
      </c>
      <c r="J4" s="9" t="s">
        <v>37</v>
      </c>
      <c r="K4" s="9" t="s">
        <v>36</v>
      </c>
      <c r="L4" s="9" t="s">
        <v>37</v>
      </c>
      <c r="M4" s="121"/>
    </row>
    <row r="5" spans="1:13" ht="22.5" customHeight="1">
      <c r="A5" s="138" t="s">
        <v>88</v>
      </c>
      <c r="B5" s="133"/>
      <c r="C5" s="133"/>
      <c r="D5" s="139"/>
      <c r="E5" s="140"/>
      <c r="F5" s="140"/>
      <c r="G5" s="140"/>
      <c r="H5" s="140"/>
      <c r="I5" s="140"/>
      <c r="J5" s="140"/>
      <c r="K5" s="140"/>
      <c r="L5" s="140"/>
      <c r="M5" s="141"/>
    </row>
    <row r="6" spans="1:13" ht="22.5" customHeight="1">
      <c r="A6" s="1" t="s">
        <v>340</v>
      </c>
      <c r="B6" s="1" t="s">
        <v>341</v>
      </c>
      <c r="C6" s="31" t="s">
        <v>342</v>
      </c>
      <c r="D6" s="19">
        <v>2</v>
      </c>
      <c r="E6" s="6">
        <f>INDEX(일위대가!$A$1:$O$307,MATCH(M6,일위대가!$O:$O,0),7)</f>
        <v>33400</v>
      </c>
      <c r="F6" s="6">
        <f>D6*E6</f>
        <v>66800</v>
      </c>
      <c r="G6" s="6">
        <f>INDEX(일위대가!$A$1:$O$307,MATCH(M6,일위대가!$O:$O,0),9)</f>
        <v>53739</v>
      </c>
      <c r="H6" s="6">
        <f>D6*G6</f>
        <v>107478</v>
      </c>
      <c r="I6" s="6">
        <f>INDEX(일위대가!$A$1:$O$307,MATCH(M6,일위대가!$O:$O,0),11)</f>
        <v>0</v>
      </c>
      <c r="J6" s="6">
        <f>D6*I6</f>
        <v>0</v>
      </c>
      <c r="K6" s="6">
        <f t="shared" ref="K6:L34" si="0">SUM(E6,G6,I6)</f>
        <v>87139</v>
      </c>
      <c r="L6" s="6">
        <f t="shared" si="0"/>
        <v>174278</v>
      </c>
      <c r="M6" s="90" t="s">
        <v>343</v>
      </c>
    </row>
    <row r="7" spans="1:13" ht="22.5" customHeight="1">
      <c r="A7" s="1" t="s">
        <v>345</v>
      </c>
      <c r="B7" s="1" t="s">
        <v>346</v>
      </c>
      <c r="C7" s="105" t="s">
        <v>347</v>
      </c>
      <c r="D7" s="19">
        <v>2</v>
      </c>
      <c r="E7" s="6"/>
      <c r="F7" s="6">
        <f t="shared" ref="F7:F31" si="1">D7*E7</f>
        <v>0</v>
      </c>
      <c r="G7" s="6"/>
      <c r="H7" s="6">
        <f t="shared" ref="H7:H31" si="2">D7*G7</f>
        <v>0</v>
      </c>
      <c r="I7" s="6">
        <v>700000</v>
      </c>
      <c r="J7" s="6">
        <f t="shared" ref="J7:J31" si="3">D7*I7</f>
        <v>1400000</v>
      </c>
      <c r="K7" s="6">
        <f t="shared" ref="K7:K32" si="4">SUM(E7,G7,I7)</f>
        <v>700000</v>
      </c>
      <c r="L7" s="6">
        <f t="shared" ref="L7:L32" si="5">SUM(F7,H7,J7)</f>
        <v>1400000</v>
      </c>
      <c r="M7" s="90" t="s">
        <v>348</v>
      </c>
    </row>
    <row r="8" spans="1:13" ht="22.5" customHeight="1">
      <c r="A8" s="1"/>
      <c r="B8" s="1"/>
      <c r="C8" s="105"/>
      <c r="D8" s="19"/>
      <c r="E8" s="6"/>
      <c r="F8" s="6">
        <f t="shared" si="1"/>
        <v>0</v>
      </c>
      <c r="G8" s="6"/>
      <c r="H8" s="6">
        <f t="shared" si="2"/>
        <v>0</v>
      </c>
      <c r="I8" s="6"/>
      <c r="J8" s="6">
        <f t="shared" si="3"/>
        <v>0</v>
      </c>
      <c r="K8" s="6">
        <f t="shared" si="4"/>
        <v>0</v>
      </c>
      <c r="L8" s="6">
        <f t="shared" si="5"/>
        <v>0</v>
      </c>
      <c r="M8" s="5"/>
    </row>
    <row r="9" spans="1:13" ht="22.5" customHeight="1">
      <c r="A9" s="153" t="s">
        <v>502</v>
      </c>
      <c r="B9" s="153"/>
      <c r="C9" s="12"/>
      <c r="D9" s="20"/>
      <c r="E9" s="13"/>
      <c r="F9" s="13">
        <f>SUM(F6:F8)</f>
        <v>66800</v>
      </c>
      <c r="G9" s="13"/>
      <c r="H9" s="13">
        <f>SUM(H6:H8)</f>
        <v>107478</v>
      </c>
      <c r="I9" s="13"/>
      <c r="J9" s="13">
        <f>SUM(J6:J8)</f>
        <v>1400000</v>
      </c>
      <c r="K9" s="13">
        <f t="shared" si="4"/>
        <v>0</v>
      </c>
      <c r="L9" s="13">
        <f t="shared" si="5"/>
        <v>1574278</v>
      </c>
      <c r="M9" s="11"/>
    </row>
    <row r="10" spans="1:13" ht="22.5" customHeight="1">
      <c r="A10" s="138" t="s">
        <v>344</v>
      </c>
      <c r="B10" s="133"/>
      <c r="C10" s="133"/>
      <c r="D10" s="139"/>
      <c r="E10" s="140"/>
      <c r="F10" s="140"/>
      <c r="G10" s="140"/>
      <c r="H10" s="140"/>
      <c r="I10" s="140"/>
      <c r="J10" s="140"/>
      <c r="K10" s="140"/>
      <c r="L10" s="140"/>
      <c r="M10" s="141"/>
    </row>
    <row r="11" spans="1:13" ht="22.5" customHeight="1">
      <c r="A11" s="1" t="s">
        <v>351</v>
      </c>
      <c r="B11" s="1" t="s">
        <v>352</v>
      </c>
      <c r="C11" s="105" t="s">
        <v>50</v>
      </c>
      <c r="D11" s="19">
        <v>422.75</v>
      </c>
      <c r="E11" s="6">
        <v>6000</v>
      </c>
      <c r="F11" s="6">
        <f t="shared" si="1"/>
        <v>2536500</v>
      </c>
      <c r="G11" s="6"/>
      <c r="H11" s="6">
        <f t="shared" si="2"/>
        <v>0</v>
      </c>
      <c r="I11" s="6"/>
      <c r="J11" s="6">
        <f t="shared" si="3"/>
        <v>0</v>
      </c>
      <c r="K11" s="6">
        <f t="shared" si="4"/>
        <v>6000</v>
      </c>
      <c r="L11" s="6">
        <f t="shared" si="5"/>
        <v>2536500</v>
      </c>
      <c r="M11" s="5" t="s">
        <v>353</v>
      </c>
    </row>
    <row r="12" spans="1:13" ht="22.5" customHeight="1">
      <c r="A12" s="1" t="s">
        <v>368</v>
      </c>
      <c r="B12" s="1" t="s">
        <v>369</v>
      </c>
      <c r="C12" s="105" t="s">
        <v>50</v>
      </c>
      <c r="D12" s="19">
        <v>56</v>
      </c>
      <c r="E12" s="6">
        <v>33000</v>
      </c>
      <c r="F12" s="6">
        <f t="shared" si="1"/>
        <v>1848000</v>
      </c>
      <c r="G12" s="6"/>
      <c r="H12" s="6">
        <f t="shared" si="2"/>
        <v>0</v>
      </c>
      <c r="I12" s="6"/>
      <c r="J12" s="6">
        <f t="shared" si="3"/>
        <v>0</v>
      </c>
      <c r="K12" s="6">
        <f t="shared" si="4"/>
        <v>33000</v>
      </c>
      <c r="L12" s="6">
        <f t="shared" si="5"/>
        <v>1848000</v>
      </c>
      <c r="M12" s="5"/>
    </row>
    <row r="13" spans="1:13" ht="22.5" customHeight="1">
      <c r="A13" s="1" t="s">
        <v>370</v>
      </c>
      <c r="B13" s="1" t="s">
        <v>371</v>
      </c>
      <c r="C13" s="105" t="s">
        <v>50</v>
      </c>
      <c r="D13" s="19">
        <v>56</v>
      </c>
      <c r="E13" s="6">
        <f>INDEX(일위대가!$A$1:$O$307,MATCH(M13,일위대가!$O:$O,0),7)</f>
        <v>589</v>
      </c>
      <c r="F13" s="6">
        <f t="shared" si="1"/>
        <v>32984</v>
      </c>
      <c r="G13" s="6">
        <f>INDEX(일위대가!$A$1:$O$307,MATCH(M13,일위대가!$O:$O,0),9)</f>
        <v>7259.7129999999997</v>
      </c>
      <c r="H13" s="6">
        <f t="shared" si="2"/>
        <v>406543.92799999996</v>
      </c>
      <c r="I13" s="6">
        <f>INDEX(일위대가!$A$1:$O$307,MATCH(M13,일위대가!$O:$O,0),11)</f>
        <v>2135</v>
      </c>
      <c r="J13" s="6">
        <f t="shared" si="3"/>
        <v>119560</v>
      </c>
      <c r="K13" s="6">
        <f t="shared" si="4"/>
        <v>9983.7129999999997</v>
      </c>
      <c r="L13" s="6">
        <f t="shared" si="5"/>
        <v>559087.92799999996</v>
      </c>
      <c r="M13" s="90" t="s">
        <v>380</v>
      </c>
    </row>
    <row r="14" spans="1:13" ht="22.5" customHeight="1">
      <c r="A14" s="1"/>
      <c r="B14" s="1"/>
      <c r="C14" s="105"/>
      <c r="D14" s="19"/>
      <c r="E14" s="6"/>
      <c r="F14" s="6">
        <f t="shared" si="1"/>
        <v>0</v>
      </c>
      <c r="G14" s="6"/>
      <c r="H14" s="6">
        <f t="shared" si="2"/>
        <v>0</v>
      </c>
      <c r="I14" s="6"/>
      <c r="J14" s="6">
        <f t="shared" si="3"/>
        <v>0</v>
      </c>
      <c r="K14" s="6">
        <f t="shared" si="4"/>
        <v>0</v>
      </c>
      <c r="L14" s="6">
        <f t="shared" si="5"/>
        <v>0</v>
      </c>
      <c r="M14" s="5"/>
    </row>
    <row r="15" spans="1:13" ht="22.5" customHeight="1">
      <c r="A15" s="153" t="s">
        <v>502</v>
      </c>
      <c r="B15" s="153"/>
      <c r="C15" s="12"/>
      <c r="D15" s="20"/>
      <c r="E15" s="13"/>
      <c r="F15" s="13">
        <f>SUM(F11:F14)</f>
        <v>4417484</v>
      </c>
      <c r="G15" s="13"/>
      <c r="H15" s="13">
        <f>SUM(H11:H14)</f>
        <v>406543.92799999996</v>
      </c>
      <c r="I15" s="13"/>
      <c r="J15" s="13">
        <f>SUM(J11:J14)</f>
        <v>119560</v>
      </c>
      <c r="K15" s="13">
        <f t="shared" si="4"/>
        <v>0</v>
      </c>
      <c r="L15" s="13">
        <f t="shared" si="5"/>
        <v>4943587.9280000003</v>
      </c>
      <c r="M15" s="11"/>
    </row>
    <row r="16" spans="1:13" ht="22.5" customHeight="1">
      <c r="A16" s="138" t="s">
        <v>394</v>
      </c>
      <c r="B16" s="133"/>
      <c r="C16" s="133"/>
      <c r="D16" s="139"/>
      <c r="E16" s="140"/>
      <c r="F16" s="140"/>
      <c r="G16" s="140"/>
      <c r="H16" s="140"/>
      <c r="I16" s="140"/>
      <c r="J16" s="140"/>
      <c r="K16" s="140"/>
      <c r="L16" s="140"/>
      <c r="M16" s="141"/>
    </row>
    <row r="17" spans="1:13" ht="22.5" customHeight="1">
      <c r="A17" s="1" t="s">
        <v>381</v>
      </c>
      <c r="B17" s="1" t="s">
        <v>382</v>
      </c>
      <c r="C17" s="105" t="s">
        <v>50</v>
      </c>
      <c r="D17" s="19">
        <v>108.3</v>
      </c>
      <c r="E17" s="6">
        <f>INDEX(일위대가!$A$1:$O$307,MATCH(M17,일위대가!$O:$O,0),7)</f>
        <v>17013</v>
      </c>
      <c r="F17" s="6">
        <f t="shared" si="1"/>
        <v>1842507.9</v>
      </c>
      <c r="G17" s="6">
        <f>INDEX(일위대가!$A$1:$O$307,MATCH(M17,일위대가!$O:$O,0),9)</f>
        <v>12878.939999999999</v>
      </c>
      <c r="H17" s="6">
        <f t="shared" si="2"/>
        <v>1394789.2019999998</v>
      </c>
      <c r="I17" s="6">
        <f>INDEX(일위대가!$A$1:$O$307,MATCH(M17,일위대가!$O:$O,0),11)</f>
        <v>0</v>
      </c>
      <c r="J17" s="6">
        <f t="shared" si="3"/>
        <v>0</v>
      </c>
      <c r="K17" s="6">
        <f t="shared" si="4"/>
        <v>29891.94</v>
      </c>
      <c r="L17" s="6">
        <f t="shared" si="5"/>
        <v>3237297.102</v>
      </c>
      <c r="M17" s="90" t="s">
        <v>395</v>
      </c>
    </row>
    <row r="18" spans="1:13" ht="22.5" customHeight="1">
      <c r="A18" s="1" t="s">
        <v>381</v>
      </c>
      <c r="B18" s="1" t="s">
        <v>383</v>
      </c>
      <c r="C18" s="105" t="s">
        <v>50</v>
      </c>
      <c r="D18" s="19">
        <v>72.039999999999992</v>
      </c>
      <c r="E18" s="6">
        <f>INDEX(일위대가!$A$1:$O$307,MATCH(M18,일위대가!$O:$O,0),7)</f>
        <v>17125</v>
      </c>
      <c r="F18" s="6">
        <f t="shared" si="1"/>
        <v>1233684.9999999998</v>
      </c>
      <c r="G18" s="6">
        <f>INDEX(일위대가!$A$1:$O$307,MATCH(M18,일위대가!$O:$O,0),9)</f>
        <v>16742.621999999999</v>
      </c>
      <c r="H18" s="6">
        <f t="shared" si="2"/>
        <v>1206138.4888799998</v>
      </c>
      <c r="I18" s="6">
        <f>INDEX(일위대가!$A$1:$O$307,MATCH(M18,일위대가!$O:$O,0),11)</f>
        <v>0</v>
      </c>
      <c r="J18" s="6">
        <f t="shared" si="3"/>
        <v>0</v>
      </c>
      <c r="K18" s="6">
        <f t="shared" si="4"/>
        <v>33867.622000000003</v>
      </c>
      <c r="L18" s="6">
        <f t="shared" si="5"/>
        <v>2439823.4888799996</v>
      </c>
      <c r="M18" s="90" t="s">
        <v>396</v>
      </c>
    </row>
    <row r="19" spans="1:13" ht="22.5" customHeight="1">
      <c r="A19" s="1" t="s">
        <v>364</v>
      </c>
      <c r="B19" s="1" t="s">
        <v>365</v>
      </c>
      <c r="C19" s="105" t="s">
        <v>50</v>
      </c>
      <c r="D19" s="19">
        <v>72.56</v>
      </c>
      <c r="E19" s="6">
        <f>INDEX(일위대가!$A$1:$O$307,MATCH(M19,일위대가!$O:$O,0),7)</f>
        <v>0</v>
      </c>
      <c r="F19" s="6">
        <f t="shared" si="1"/>
        <v>0</v>
      </c>
      <c r="G19" s="6">
        <f>INDEX(일위대가!$A$1:$O$307,MATCH(M19,일위대가!$O:$O,0),9)</f>
        <v>1756.1</v>
      </c>
      <c r="H19" s="6">
        <f t="shared" si="2"/>
        <v>127422.61599999999</v>
      </c>
      <c r="I19" s="6">
        <f>INDEX(일위대가!$A$1:$O$307,MATCH(M19,일위대가!$O:$O,0),11)</f>
        <v>0</v>
      </c>
      <c r="J19" s="6">
        <f t="shared" si="3"/>
        <v>0</v>
      </c>
      <c r="K19" s="6">
        <f t="shared" si="4"/>
        <v>1756.1</v>
      </c>
      <c r="L19" s="6">
        <f t="shared" si="5"/>
        <v>127422.61599999999</v>
      </c>
      <c r="M19" s="90" t="s">
        <v>401</v>
      </c>
    </row>
    <row r="20" spans="1:13" ht="22.5" customHeight="1">
      <c r="A20" s="1" t="s">
        <v>366</v>
      </c>
      <c r="B20" s="1" t="s">
        <v>367</v>
      </c>
      <c r="C20" s="105" t="s">
        <v>50</v>
      </c>
      <c r="D20" s="19">
        <v>72.56</v>
      </c>
      <c r="E20" s="6">
        <f>INDEX(일위대가!$A$1:$O$307,MATCH(M20,일위대가!$O:$O,0),7)</f>
        <v>53550</v>
      </c>
      <c r="F20" s="6">
        <f t="shared" si="1"/>
        <v>3885588</v>
      </c>
      <c r="G20" s="6">
        <f>INDEX(일위대가!$A$1:$O$307,MATCH(M20,일위대가!$O:$O,0),9)</f>
        <v>14233.7</v>
      </c>
      <c r="H20" s="6">
        <f t="shared" si="2"/>
        <v>1032797.2720000001</v>
      </c>
      <c r="I20" s="6">
        <f>INDEX(일위대가!$A$1:$O$307,MATCH(M20,일위대가!$O:$O,0),11)</f>
        <v>427.1</v>
      </c>
      <c r="J20" s="6">
        <f t="shared" si="3"/>
        <v>30990.376000000004</v>
      </c>
      <c r="K20" s="6">
        <f t="shared" si="4"/>
        <v>68210.8</v>
      </c>
      <c r="L20" s="6">
        <f t="shared" si="5"/>
        <v>4949375.648</v>
      </c>
      <c r="M20" s="90" t="s">
        <v>410</v>
      </c>
    </row>
    <row r="21" spans="1:13" ht="22.5" customHeight="1">
      <c r="A21" s="1" t="s">
        <v>455</v>
      </c>
      <c r="B21" s="1" t="s">
        <v>456</v>
      </c>
      <c r="C21" s="105" t="s">
        <v>228</v>
      </c>
      <c r="D21" s="19">
        <v>551.22</v>
      </c>
      <c r="E21" s="6">
        <f>INDEX(일위대가!$A$1:$O$307,MATCH(M21,일위대가!$O:$O,0),7)</f>
        <v>2234</v>
      </c>
      <c r="F21" s="6">
        <f t="shared" si="1"/>
        <v>1231425.48</v>
      </c>
      <c r="G21" s="6">
        <f>INDEX(일위대가!$A$1:$O$307,MATCH(M21,일위대가!$O:$O,0),9)</f>
        <v>6946</v>
      </c>
      <c r="H21" s="6">
        <f t="shared" si="2"/>
        <v>3828774.12</v>
      </c>
      <c r="I21" s="6">
        <f>INDEX(일위대가!$A$1:$O$307,MATCH(M21,일위대가!$O:$O,0),11)</f>
        <v>0</v>
      </c>
      <c r="J21" s="6">
        <f t="shared" si="3"/>
        <v>0</v>
      </c>
      <c r="K21" s="6">
        <f t="shared" si="4"/>
        <v>9180</v>
      </c>
      <c r="L21" s="6">
        <f t="shared" si="5"/>
        <v>5060199.5999999996</v>
      </c>
      <c r="M21" s="90" t="s">
        <v>439</v>
      </c>
    </row>
    <row r="22" spans="1:13" ht="22.5" customHeight="1">
      <c r="A22" s="1" t="s">
        <v>440</v>
      </c>
      <c r="B22" s="1" t="s">
        <v>441</v>
      </c>
      <c r="C22" s="105" t="s">
        <v>228</v>
      </c>
      <c r="D22" s="19">
        <v>1011.32</v>
      </c>
      <c r="E22" s="6">
        <f>INDEX(일위대가!$A$1:$O$307,MATCH(M22,일위대가!$O:$O,0),7)</f>
        <v>756</v>
      </c>
      <c r="F22" s="6">
        <f t="shared" ref="F22:F23" si="6">D22*E22</f>
        <v>764557.92</v>
      </c>
      <c r="G22" s="6">
        <f>INDEX(일위대가!$A$1:$O$307,MATCH(M22,일위대가!$O:$O,0),9)</f>
        <v>0</v>
      </c>
      <c r="H22" s="6">
        <f t="shared" ref="H22:H23" si="7">D22*G22</f>
        <v>0</v>
      </c>
      <c r="I22" s="6">
        <f>INDEX(일위대가!$A$1:$O$307,MATCH(M22,일위대가!$O:$O,0),11)</f>
        <v>0</v>
      </c>
      <c r="J22" s="6">
        <f t="shared" ref="J22:J23" si="8">D22*I22</f>
        <v>0</v>
      </c>
      <c r="K22" s="6">
        <f t="shared" ref="K22:K24" si="9">SUM(E22,G22,I22)</f>
        <v>756</v>
      </c>
      <c r="L22" s="6">
        <f t="shared" ref="L22:L24" si="10">SUM(F22,H22,J22)</f>
        <v>764557.92</v>
      </c>
      <c r="M22" s="90" t="s">
        <v>449</v>
      </c>
    </row>
    <row r="23" spans="1:13" ht="22.5" customHeight="1">
      <c r="A23" s="1"/>
      <c r="B23" s="1"/>
      <c r="C23" s="105"/>
      <c r="D23" s="19"/>
      <c r="E23" s="6"/>
      <c r="F23" s="6">
        <f t="shared" si="6"/>
        <v>0</v>
      </c>
      <c r="G23" s="6"/>
      <c r="H23" s="6">
        <f t="shared" si="7"/>
        <v>0</v>
      </c>
      <c r="I23" s="6"/>
      <c r="J23" s="6">
        <f t="shared" si="8"/>
        <v>0</v>
      </c>
      <c r="K23" s="6">
        <f t="shared" si="9"/>
        <v>0</v>
      </c>
      <c r="L23" s="6">
        <f t="shared" si="10"/>
        <v>0</v>
      </c>
      <c r="M23" s="5"/>
    </row>
    <row r="24" spans="1:13" ht="22.5" customHeight="1">
      <c r="A24" s="153" t="s">
        <v>502</v>
      </c>
      <c r="B24" s="153"/>
      <c r="C24" s="12"/>
      <c r="D24" s="20"/>
      <c r="E24" s="13"/>
      <c r="F24" s="13">
        <f>SUM(F17:F23)</f>
        <v>8957764.2999999989</v>
      </c>
      <c r="G24" s="13"/>
      <c r="H24" s="13">
        <f>SUM(H17:H23)</f>
        <v>7589921.69888</v>
      </c>
      <c r="I24" s="13"/>
      <c r="J24" s="13">
        <f>SUM(J17:J23)</f>
        <v>30990.376000000004</v>
      </c>
      <c r="K24" s="13">
        <f t="shared" si="9"/>
        <v>0</v>
      </c>
      <c r="L24" s="13">
        <f t="shared" si="10"/>
        <v>16578676.374879999</v>
      </c>
      <c r="M24" s="11"/>
    </row>
    <row r="25" spans="1:13" ht="22.5" customHeight="1">
      <c r="A25" s="138" t="s">
        <v>355</v>
      </c>
      <c r="B25" s="133"/>
      <c r="C25" s="133"/>
      <c r="D25" s="139"/>
      <c r="E25" s="140"/>
      <c r="F25" s="140"/>
      <c r="G25" s="140"/>
      <c r="H25" s="140"/>
      <c r="I25" s="140"/>
      <c r="J25" s="140"/>
      <c r="K25" s="140"/>
      <c r="L25" s="140"/>
      <c r="M25" s="141"/>
    </row>
    <row r="26" spans="1:13" ht="22.5" customHeight="1">
      <c r="A26" s="1" t="s">
        <v>360</v>
      </c>
      <c r="B26" s="144" t="s">
        <v>362</v>
      </c>
      <c r="C26" s="105" t="s">
        <v>212</v>
      </c>
      <c r="D26" s="19">
        <v>11</v>
      </c>
      <c r="E26" s="6"/>
      <c r="F26" s="6">
        <f t="shared" si="1"/>
        <v>0</v>
      </c>
      <c r="G26" s="6">
        <f>20914.6*1.5</f>
        <v>31371.899999999998</v>
      </c>
      <c r="H26" s="6">
        <f t="shared" si="2"/>
        <v>345090.89999999997</v>
      </c>
      <c r="I26" s="6"/>
      <c r="J26" s="6">
        <f t="shared" si="3"/>
        <v>0</v>
      </c>
      <c r="K26" s="6">
        <f t="shared" si="4"/>
        <v>31371.899999999998</v>
      </c>
      <c r="L26" s="6">
        <f t="shared" si="5"/>
        <v>345090.89999999997</v>
      </c>
      <c r="M26" s="90" t="s">
        <v>361</v>
      </c>
    </row>
    <row r="27" spans="1:13" ht="22.5" customHeight="1">
      <c r="A27" s="1" t="s">
        <v>411</v>
      </c>
      <c r="B27" s="1" t="s">
        <v>412</v>
      </c>
      <c r="C27" s="105" t="s">
        <v>220</v>
      </c>
      <c r="D27" s="19">
        <v>6</v>
      </c>
      <c r="E27" s="6">
        <f>INDEX(일위대가!$A$1:$O$307,MATCH(M27,일위대가!$O:$O,0),7)</f>
        <v>3300</v>
      </c>
      <c r="F27" s="6">
        <f t="shared" si="1"/>
        <v>19800</v>
      </c>
      <c r="G27" s="6">
        <f>INDEX(일위대가!$A$1:$O$307,MATCH(M27,일위대가!$O:$O,0),9)</f>
        <v>22019</v>
      </c>
      <c r="H27" s="6">
        <f t="shared" si="2"/>
        <v>132114</v>
      </c>
      <c r="I27" s="6">
        <f>INDEX(일위대가!$A$1:$O$307,MATCH(M27,일위대가!$O:$O,0),11)</f>
        <v>0</v>
      </c>
      <c r="J27" s="6">
        <f t="shared" si="3"/>
        <v>0</v>
      </c>
      <c r="K27" s="6">
        <f t="shared" si="4"/>
        <v>25319</v>
      </c>
      <c r="L27" s="6">
        <f t="shared" si="5"/>
        <v>151914</v>
      </c>
      <c r="M27" s="90" t="s">
        <v>419</v>
      </c>
    </row>
    <row r="28" spans="1:13" ht="22.5" customHeight="1">
      <c r="A28" s="1" t="s">
        <v>463</v>
      </c>
      <c r="B28" s="1" t="s">
        <v>467</v>
      </c>
      <c r="C28" s="105" t="s">
        <v>50</v>
      </c>
      <c r="D28" s="19">
        <v>4.5</v>
      </c>
      <c r="E28" s="6">
        <v>3909</v>
      </c>
      <c r="F28" s="6">
        <f t="shared" si="1"/>
        <v>17590.5</v>
      </c>
      <c r="G28" s="6"/>
      <c r="H28" s="6">
        <f t="shared" si="2"/>
        <v>0</v>
      </c>
      <c r="I28" s="6"/>
      <c r="J28" s="6">
        <f t="shared" si="3"/>
        <v>0</v>
      </c>
      <c r="K28" s="6">
        <f t="shared" si="4"/>
        <v>3909</v>
      </c>
      <c r="L28" s="6">
        <f t="shared" si="5"/>
        <v>17590.5</v>
      </c>
      <c r="M28" s="90" t="s">
        <v>468</v>
      </c>
    </row>
    <row r="29" spans="1:13" ht="22.5" customHeight="1">
      <c r="A29" s="1" t="s">
        <v>295</v>
      </c>
      <c r="B29" s="1" t="s">
        <v>213</v>
      </c>
      <c r="C29" s="105" t="s">
        <v>469</v>
      </c>
      <c r="D29" s="19">
        <v>0.01</v>
      </c>
      <c r="E29" s="6">
        <f>INDEX(일위대가!$A$1:$O$307,MATCH(M29,일위대가!$O:$O,0),7)</f>
        <v>212000</v>
      </c>
      <c r="F29" s="6">
        <f t="shared" si="1"/>
        <v>2120</v>
      </c>
      <c r="G29" s="6">
        <f>INDEX(일위대가!$A$1:$O$307,MATCH(M29,일위대가!$O:$O,0),9)</f>
        <v>4329651</v>
      </c>
      <c r="H29" s="6">
        <f t="shared" si="2"/>
        <v>43296.51</v>
      </c>
      <c r="I29" s="6">
        <f>INDEX(일위대가!$A$1:$O$307,MATCH(M29,일위대가!$O:$O,0),11)</f>
        <v>13544</v>
      </c>
      <c r="J29" s="6">
        <f t="shared" si="3"/>
        <v>135.44</v>
      </c>
      <c r="K29" s="6">
        <f t="shared" si="4"/>
        <v>4555195</v>
      </c>
      <c r="L29" s="6">
        <f t="shared" si="5"/>
        <v>45551.950000000004</v>
      </c>
      <c r="M29" s="90" t="s">
        <v>482</v>
      </c>
    </row>
    <row r="30" spans="1:13" ht="22.5" customHeight="1">
      <c r="A30" s="1" t="s">
        <v>484</v>
      </c>
      <c r="B30" s="1" t="s">
        <v>485</v>
      </c>
      <c r="C30" s="105" t="s">
        <v>228</v>
      </c>
      <c r="D30" s="19">
        <v>10.6</v>
      </c>
      <c r="E30" s="6">
        <f>INDEX(일위대가!$A$1:$O$307,MATCH(M30,일위대가!$O:$O,0),7)</f>
        <v>25924</v>
      </c>
      <c r="F30" s="6">
        <f t="shared" si="1"/>
        <v>274794.39999999997</v>
      </c>
      <c r="G30" s="6">
        <f>INDEX(일위대가!$A$1:$O$307,MATCH(M30,일위대가!$O:$O,0),9)</f>
        <v>6075.7400000000007</v>
      </c>
      <c r="H30" s="6">
        <f t="shared" si="2"/>
        <v>64402.844000000005</v>
      </c>
      <c r="I30" s="6">
        <f>INDEX(일위대가!$A$1:$O$307,MATCH(M30,일위대가!$O:$O,0),11)</f>
        <v>0</v>
      </c>
      <c r="J30" s="6">
        <f t="shared" si="3"/>
        <v>0</v>
      </c>
      <c r="K30" s="6">
        <f t="shared" si="4"/>
        <v>31999.74</v>
      </c>
      <c r="L30" s="6">
        <f t="shared" si="5"/>
        <v>339197.24399999995</v>
      </c>
      <c r="M30" s="90" t="s">
        <v>501</v>
      </c>
    </row>
    <row r="31" spans="1:13" ht="22.5" customHeight="1">
      <c r="A31" s="1"/>
      <c r="B31" s="1"/>
      <c r="C31" s="105"/>
      <c r="D31" s="19"/>
      <c r="E31" s="6"/>
      <c r="F31" s="6">
        <f t="shared" si="1"/>
        <v>0</v>
      </c>
      <c r="G31" s="6"/>
      <c r="H31" s="6">
        <f t="shared" si="2"/>
        <v>0</v>
      </c>
      <c r="I31" s="6"/>
      <c r="J31" s="6">
        <f t="shared" si="3"/>
        <v>0</v>
      </c>
      <c r="K31" s="6">
        <f t="shared" si="4"/>
        <v>0</v>
      </c>
      <c r="L31" s="6">
        <f t="shared" si="5"/>
        <v>0</v>
      </c>
      <c r="M31" s="5"/>
    </row>
    <row r="32" spans="1:13" ht="22.5" customHeight="1">
      <c r="A32" s="153" t="s">
        <v>502</v>
      </c>
      <c r="B32" s="153"/>
      <c r="C32" s="12"/>
      <c r="D32" s="20"/>
      <c r="E32" s="13"/>
      <c r="F32" s="13">
        <f>SUM(F26:F31)</f>
        <v>314304.89999999997</v>
      </c>
      <c r="G32" s="13"/>
      <c r="H32" s="13">
        <f>SUM(H26:H31)</f>
        <v>584904.25399999996</v>
      </c>
      <c r="I32" s="13"/>
      <c r="J32" s="13">
        <f>SUM(J26:J31)</f>
        <v>135.44</v>
      </c>
      <c r="K32" s="13">
        <f t="shared" si="4"/>
        <v>0</v>
      </c>
      <c r="L32" s="13">
        <f t="shared" si="5"/>
        <v>899344.59399999981</v>
      </c>
      <c r="M32" s="11"/>
    </row>
    <row r="33" spans="1:13" s="154" customFormat="1" ht="7.5" customHeight="1">
      <c r="A33" s="130"/>
      <c r="B33" s="130"/>
      <c r="C33" s="129"/>
      <c r="D33" s="136"/>
      <c r="E33" s="137"/>
      <c r="F33" s="137"/>
      <c r="G33" s="137"/>
      <c r="H33" s="137"/>
      <c r="I33" s="137"/>
      <c r="J33" s="137"/>
      <c r="K33" s="137"/>
      <c r="L33" s="137"/>
      <c r="M33" s="131"/>
    </row>
    <row r="34" spans="1:13" ht="22.5" customHeight="1">
      <c r="A34" s="155" t="s">
        <v>48</v>
      </c>
      <c r="B34" s="156"/>
      <c r="C34" s="155"/>
      <c r="D34" s="157"/>
      <c r="E34" s="158"/>
      <c r="F34" s="158">
        <f>SUM(F9,F15,F24,F32)</f>
        <v>13756353.199999999</v>
      </c>
      <c r="G34" s="158">
        <f t="shared" ref="G34:L34" si="11">SUM(G15,G24,G32)</f>
        <v>0</v>
      </c>
      <c r="H34" s="158">
        <f>SUM(H9,H15,H24,H32)</f>
        <v>8688847.8808800001</v>
      </c>
      <c r="I34" s="158">
        <f t="shared" si="11"/>
        <v>0</v>
      </c>
      <c r="J34" s="158">
        <f>SUM(J9,J15,J24,J32)</f>
        <v>1550685.8159999999</v>
      </c>
      <c r="K34" s="158">
        <f t="shared" si="11"/>
        <v>0</v>
      </c>
      <c r="L34" s="158">
        <f>SUM(L9,L15,L24,L32)</f>
        <v>23995886.896880001</v>
      </c>
      <c r="M34" s="159"/>
    </row>
  </sheetData>
  <mergeCells count="10">
    <mergeCell ref="M3:M4"/>
    <mergeCell ref="A1:M1"/>
    <mergeCell ref="A3:A4"/>
    <mergeCell ref="B3:B4"/>
    <mergeCell ref="C3:C4"/>
    <mergeCell ref="D3:D4"/>
    <mergeCell ref="E3:F3"/>
    <mergeCell ref="G3:H3"/>
    <mergeCell ref="I3:J3"/>
    <mergeCell ref="K3:L3"/>
  </mergeCells>
  <phoneticPr fontId="7" type="noConversion"/>
  <pageMargins left="0.70866141732283472" right="0.70866141732283472" top="0.59055118110236227" bottom="0.47244094488188981" header="0.31496062992125984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G51"/>
  <sheetViews>
    <sheetView view="pageBreakPreview" zoomScale="60" zoomScaleNormal="90" workbookViewId="0">
      <selection activeCell="E6" sqref="E6"/>
    </sheetView>
  </sheetViews>
  <sheetFormatPr defaultColWidth="9" defaultRowHeight="16.5"/>
  <cols>
    <col min="2" max="2" width="32.75" style="30" bestFit="1" customWidth="1"/>
    <col min="3" max="3" width="30.75" style="30" bestFit="1" customWidth="1"/>
    <col min="4" max="4" width="5.25" bestFit="1" customWidth="1"/>
    <col min="5" max="5" width="8.5" customWidth="1"/>
    <col min="6" max="6" width="44" customWidth="1"/>
    <col min="7" max="7" width="14" bestFit="1" customWidth="1"/>
    <col min="9" max="9" width="9" bestFit="1" customWidth="1"/>
  </cols>
  <sheetData>
    <row r="1" spans="1:7" ht="33.75">
      <c r="A1" s="122" t="s">
        <v>322</v>
      </c>
      <c r="B1" s="122"/>
      <c r="C1" s="122"/>
      <c r="D1" s="122"/>
      <c r="E1" s="122"/>
      <c r="F1" s="122"/>
      <c r="G1" s="122"/>
    </row>
    <row r="2" spans="1:7">
      <c r="A2" s="128" t="s">
        <v>320</v>
      </c>
    </row>
    <row r="3" spans="1:7">
      <c r="A3" s="3" t="s">
        <v>224</v>
      </c>
      <c r="B3" s="3" t="s">
        <v>51</v>
      </c>
      <c r="C3" s="3" t="s">
        <v>54</v>
      </c>
      <c r="D3" s="3" t="s">
        <v>52</v>
      </c>
      <c r="E3" s="3" t="s">
        <v>323</v>
      </c>
      <c r="F3" s="3" t="s">
        <v>225</v>
      </c>
      <c r="G3" s="3" t="s">
        <v>57</v>
      </c>
    </row>
    <row r="4" spans="1:7">
      <c r="A4" s="132" t="s">
        <v>325</v>
      </c>
      <c r="B4" s="145"/>
      <c r="C4" s="145" t="s">
        <v>56</v>
      </c>
      <c r="D4" s="133"/>
      <c r="E4" s="133"/>
      <c r="F4" s="134"/>
      <c r="G4" s="135"/>
    </row>
    <row r="5" spans="1:7">
      <c r="A5" s="4"/>
      <c r="B5" s="68" t="s">
        <v>340</v>
      </c>
      <c r="C5" s="68" t="s">
        <v>341</v>
      </c>
      <c r="D5" s="67" t="s">
        <v>342</v>
      </c>
      <c r="E5" s="67">
        <v>2</v>
      </c>
      <c r="F5" s="90" t="s">
        <v>349</v>
      </c>
      <c r="G5" s="1"/>
    </row>
    <row r="6" spans="1:7" ht="17.100000000000001" customHeight="1">
      <c r="A6" s="1"/>
      <c r="B6" s="67" t="s">
        <v>345</v>
      </c>
      <c r="C6" s="67" t="s">
        <v>346</v>
      </c>
      <c r="D6" s="67" t="s">
        <v>347</v>
      </c>
      <c r="E6" s="67">
        <v>2</v>
      </c>
      <c r="F6" s="90" t="s">
        <v>350</v>
      </c>
      <c r="G6" s="32"/>
    </row>
    <row r="7" spans="1:7" ht="17.100000000000001" customHeight="1">
      <c r="A7" s="1"/>
      <c r="B7" s="67"/>
      <c r="C7" s="67"/>
      <c r="D7" s="67"/>
      <c r="E7" s="67"/>
      <c r="F7" s="67"/>
      <c r="G7" s="32"/>
    </row>
    <row r="8" spans="1:7">
      <c r="A8" s="132" t="s">
        <v>344</v>
      </c>
      <c r="B8" s="145"/>
      <c r="C8" s="145" t="s">
        <v>56</v>
      </c>
      <c r="D8" s="133"/>
      <c r="E8" s="133"/>
      <c r="F8" s="134"/>
      <c r="G8" s="135"/>
    </row>
    <row r="9" spans="1:7" ht="17.100000000000001" customHeight="1">
      <c r="A9" s="68"/>
      <c r="B9" s="67" t="s">
        <v>351</v>
      </c>
      <c r="C9" s="67" t="s">
        <v>352</v>
      </c>
      <c r="D9" s="67" t="s">
        <v>50</v>
      </c>
      <c r="E9" s="67">
        <f>244.87+81.88+16*6+3*6</f>
        <v>440.75</v>
      </c>
      <c r="F9" s="90" t="s">
        <v>363</v>
      </c>
      <c r="G9" s="32"/>
    </row>
    <row r="10" spans="1:7" ht="17.100000000000001" customHeight="1">
      <c r="A10" s="68"/>
      <c r="B10" s="67" t="s">
        <v>368</v>
      </c>
      <c r="C10" s="67" t="s">
        <v>369</v>
      </c>
      <c r="D10" s="69" t="s">
        <v>50</v>
      </c>
      <c r="E10" s="69">
        <f>3.5*4*2*2</f>
        <v>56</v>
      </c>
      <c r="F10" s="142" t="s">
        <v>372</v>
      </c>
      <c r="G10" s="32"/>
    </row>
    <row r="11" spans="1:7">
      <c r="A11" s="4"/>
      <c r="B11" s="68" t="s">
        <v>370</v>
      </c>
      <c r="C11" s="68" t="s">
        <v>371</v>
      </c>
      <c r="D11" s="1" t="s">
        <v>50</v>
      </c>
      <c r="E11" s="69">
        <f>3.5*4*2*2</f>
        <v>56</v>
      </c>
      <c r="F11" s="142" t="s">
        <v>372</v>
      </c>
      <c r="G11" s="1"/>
    </row>
    <row r="12" spans="1:7">
      <c r="A12" s="4"/>
      <c r="B12" s="146"/>
      <c r="C12" s="146"/>
      <c r="D12" s="67"/>
      <c r="E12" s="67"/>
      <c r="F12" s="65"/>
      <c r="G12" s="66"/>
    </row>
    <row r="13" spans="1:7">
      <c r="A13" s="132" t="s">
        <v>354</v>
      </c>
      <c r="B13" s="145"/>
      <c r="C13" s="145" t="s">
        <v>56</v>
      </c>
      <c r="D13" s="133"/>
      <c r="E13" s="133"/>
      <c r="F13" s="134"/>
      <c r="G13" s="135"/>
    </row>
    <row r="14" spans="1:7" ht="16.5" customHeight="1">
      <c r="A14" s="68"/>
      <c r="B14" s="67" t="s">
        <v>381</v>
      </c>
      <c r="C14" s="67" t="s">
        <v>382</v>
      </c>
      <c r="D14" s="67" t="s">
        <v>50</v>
      </c>
      <c r="E14" s="90">
        <f>6*3+3*6+4*12+2.7*9</f>
        <v>108.3</v>
      </c>
      <c r="F14" s="90" t="s">
        <v>450</v>
      </c>
      <c r="G14" s="68"/>
    </row>
    <row r="15" spans="1:7" ht="16.5" customHeight="1">
      <c r="A15" s="68"/>
      <c r="B15" s="69" t="s">
        <v>381</v>
      </c>
      <c r="C15" s="67" t="s">
        <v>383</v>
      </c>
      <c r="D15" s="67" t="s">
        <v>50</v>
      </c>
      <c r="E15" s="90">
        <f>(6+3)*2*1+(3+6)*2*0.8+(4+12)*2*0.8+(2.7+9)*2*0.6</f>
        <v>72.039999999999992</v>
      </c>
      <c r="F15" s="90" t="s">
        <v>451</v>
      </c>
      <c r="G15" s="68"/>
    </row>
    <row r="16" spans="1:7" ht="16.5" customHeight="1">
      <c r="A16" s="68"/>
      <c r="B16" s="69" t="s">
        <v>364</v>
      </c>
      <c r="C16" s="67" t="s">
        <v>365</v>
      </c>
      <c r="D16" s="67" t="s">
        <v>50</v>
      </c>
      <c r="E16" s="1">
        <f>(2.7+6.8+2.4+29+2.7)*(0.5*2+0.6)+3.5*0.8</f>
        <v>72.56</v>
      </c>
      <c r="F16" s="90" t="s">
        <v>384</v>
      </c>
      <c r="G16" s="68"/>
    </row>
    <row r="17" spans="1:7">
      <c r="A17" s="4"/>
      <c r="B17" s="68" t="s">
        <v>366</v>
      </c>
      <c r="C17" s="68" t="s">
        <v>367</v>
      </c>
      <c r="D17" s="67" t="s">
        <v>50</v>
      </c>
      <c r="E17" s="1">
        <f>(2.7+6.8+2.4+29+2.7)*(0.5*2+0.6)+3.5*0.8</f>
        <v>72.56</v>
      </c>
      <c r="F17" s="90" t="s">
        <v>384</v>
      </c>
      <c r="G17" s="1"/>
    </row>
    <row r="18" spans="1:7">
      <c r="A18" s="68"/>
      <c r="B18" s="67" t="s">
        <v>455</v>
      </c>
      <c r="C18" s="67" t="s">
        <v>456</v>
      </c>
      <c r="D18" s="67" t="s">
        <v>228</v>
      </c>
      <c r="E18" s="90">
        <f>(1.9+3)*2</f>
        <v>9.8000000000000007</v>
      </c>
      <c r="F18" s="90" t="s">
        <v>423</v>
      </c>
      <c r="G18" s="147" t="s">
        <v>424</v>
      </c>
    </row>
    <row r="19" spans="1:7">
      <c r="A19" s="68"/>
      <c r="B19" s="67" t="s">
        <v>455</v>
      </c>
      <c r="C19" s="67" t="s">
        <v>456</v>
      </c>
      <c r="D19" s="67" t="s">
        <v>228</v>
      </c>
      <c r="E19" s="90">
        <f>(53-3)*2+2.35*7</f>
        <v>116.45</v>
      </c>
      <c r="F19" s="90" t="s">
        <v>427</v>
      </c>
      <c r="G19" s="147" t="s">
        <v>425</v>
      </c>
    </row>
    <row r="20" spans="1:7">
      <c r="A20" s="68"/>
      <c r="B20" s="67" t="s">
        <v>455</v>
      </c>
      <c r="C20" s="67" t="s">
        <v>456</v>
      </c>
      <c r="D20" s="67" t="s">
        <v>228</v>
      </c>
      <c r="E20" s="90">
        <f>(53-3)*2+2.35*7</f>
        <v>116.45</v>
      </c>
      <c r="F20" s="90" t="s">
        <v>427</v>
      </c>
      <c r="G20" s="147" t="s">
        <v>426</v>
      </c>
    </row>
    <row r="21" spans="1:7">
      <c r="A21" s="68"/>
      <c r="B21" s="67" t="s">
        <v>455</v>
      </c>
      <c r="C21" s="67" t="s">
        <v>456</v>
      </c>
      <c r="D21" s="67" t="s">
        <v>228</v>
      </c>
      <c r="E21" s="90">
        <f>(1+10.77)*2*8</f>
        <v>188.32</v>
      </c>
      <c r="F21" s="90" t="s">
        <v>431</v>
      </c>
      <c r="G21" s="147" t="s">
        <v>428</v>
      </c>
    </row>
    <row r="22" spans="1:7">
      <c r="A22" s="68"/>
      <c r="B22" s="67" t="s">
        <v>455</v>
      </c>
      <c r="C22" s="67" t="s">
        <v>456</v>
      </c>
      <c r="D22" s="67" t="s">
        <v>228</v>
      </c>
      <c r="E22" s="90">
        <f>((1+(2.45+0.8+2.3))*2+1*2)*2</f>
        <v>30.2</v>
      </c>
      <c r="F22" s="90" t="s">
        <v>432</v>
      </c>
      <c r="G22" s="147" t="s">
        <v>429</v>
      </c>
    </row>
    <row r="23" spans="1:7">
      <c r="A23" s="68"/>
      <c r="B23" s="67" t="s">
        <v>455</v>
      </c>
      <c r="C23" s="67" t="s">
        <v>456</v>
      </c>
      <c r="D23" s="67" t="s">
        <v>228</v>
      </c>
      <c r="E23" s="90">
        <f>((1+(2.25+2.3))*2+1)*2</f>
        <v>24.2</v>
      </c>
      <c r="F23" s="90" t="s">
        <v>433</v>
      </c>
      <c r="G23" s="147" t="s">
        <v>430</v>
      </c>
    </row>
    <row r="24" spans="1:7">
      <c r="A24" s="68"/>
      <c r="B24" s="67" t="s">
        <v>455</v>
      </c>
      <c r="C24" s="67" t="s">
        <v>456</v>
      </c>
      <c r="D24" s="67" t="s">
        <v>228</v>
      </c>
      <c r="E24" s="90">
        <f>(2+3.15)*2*2</f>
        <v>20.6</v>
      </c>
      <c r="F24" s="90" t="s">
        <v>436</v>
      </c>
      <c r="G24" s="147" t="s">
        <v>434</v>
      </c>
    </row>
    <row r="25" spans="1:7">
      <c r="A25" s="68"/>
      <c r="B25" s="67" t="s">
        <v>455</v>
      </c>
      <c r="C25" s="67" t="s">
        <v>456</v>
      </c>
      <c r="D25" s="67" t="s">
        <v>228</v>
      </c>
      <c r="E25" s="90">
        <f>(2+3)*2*2</f>
        <v>20</v>
      </c>
      <c r="F25" s="90" t="s">
        <v>437</v>
      </c>
      <c r="G25" s="147" t="s">
        <v>435</v>
      </c>
    </row>
    <row r="26" spans="1:7">
      <c r="A26" s="68"/>
      <c r="B26" s="67" t="s">
        <v>455</v>
      </c>
      <c r="C26" s="67" t="s">
        <v>456</v>
      </c>
      <c r="D26" s="67" t="s">
        <v>228</v>
      </c>
      <c r="E26" s="90">
        <f>(3+1.2)*2*3</f>
        <v>25.200000000000003</v>
      </c>
      <c r="F26" s="90" t="s">
        <v>452</v>
      </c>
      <c r="G26" s="147" t="s">
        <v>453</v>
      </c>
    </row>
    <row r="27" spans="1:7">
      <c r="A27" s="68"/>
      <c r="B27" s="148" t="s">
        <v>455</v>
      </c>
      <c r="C27" s="148" t="s">
        <v>456</v>
      </c>
      <c r="D27" s="148" t="s">
        <v>228</v>
      </c>
      <c r="E27" s="148">
        <f>SUM(E18:E26)</f>
        <v>551.22</v>
      </c>
      <c r="F27" s="149" t="s">
        <v>438</v>
      </c>
      <c r="G27" s="150"/>
    </row>
    <row r="28" spans="1:7">
      <c r="A28" s="68"/>
      <c r="B28" s="67" t="s">
        <v>440</v>
      </c>
      <c r="C28" s="67" t="s">
        <v>441</v>
      </c>
      <c r="D28" s="67" t="s">
        <v>228</v>
      </c>
      <c r="E28" s="90">
        <f>(53-3)*2+2.35*100</f>
        <v>335</v>
      </c>
      <c r="F28" s="90" t="s">
        <v>442</v>
      </c>
      <c r="G28" s="147" t="s">
        <v>425</v>
      </c>
    </row>
    <row r="29" spans="1:7">
      <c r="A29" s="68"/>
      <c r="B29" s="67" t="s">
        <v>440</v>
      </c>
      <c r="C29" s="67" t="s">
        <v>441</v>
      </c>
      <c r="D29" s="67" t="s">
        <v>228</v>
      </c>
      <c r="E29" s="90">
        <f>(53-3)*2+2.35*100</f>
        <v>335</v>
      </c>
      <c r="F29" s="90" t="s">
        <v>442</v>
      </c>
      <c r="G29" s="147" t="s">
        <v>426</v>
      </c>
    </row>
    <row r="30" spans="1:7">
      <c r="A30" s="68"/>
      <c r="B30" s="67" t="s">
        <v>440</v>
      </c>
      <c r="C30" s="67" t="s">
        <v>441</v>
      </c>
      <c r="D30" s="67" t="s">
        <v>228</v>
      </c>
      <c r="E30" s="90">
        <f>(1*6+10.77*2)*8</f>
        <v>220.32</v>
      </c>
      <c r="F30" s="90" t="s">
        <v>443</v>
      </c>
      <c r="G30" s="147" t="s">
        <v>428</v>
      </c>
    </row>
    <row r="31" spans="1:7">
      <c r="A31" s="68"/>
      <c r="B31" s="67" t="s">
        <v>440</v>
      </c>
      <c r="C31" s="67" t="s">
        <v>441</v>
      </c>
      <c r="D31" s="67" t="s">
        <v>228</v>
      </c>
      <c r="E31" s="90">
        <f>((1+2.3)*2+(1+2.45)*2)*2</f>
        <v>27</v>
      </c>
      <c r="F31" s="90" t="s">
        <v>444</v>
      </c>
      <c r="G31" s="147" t="s">
        <v>429</v>
      </c>
    </row>
    <row r="32" spans="1:7">
      <c r="A32" s="68"/>
      <c r="B32" s="67" t="s">
        <v>440</v>
      </c>
      <c r="C32" s="67" t="s">
        <v>441</v>
      </c>
      <c r="D32" s="67" t="s">
        <v>228</v>
      </c>
      <c r="E32" s="90">
        <f>((3.25+2.3)*2+1*3)*2</f>
        <v>28.2</v>
      </c>
      <c r="F32" s="90" t="s">
        <v>445</v>
      </c>
      <c r="G32" s="147" t="s">
        <v>430</v>
      </c>
    </row>
    <row r="33" spans="1:7">
      <c r="A33" s="68"/>
      <c r="B33" s="67" t="s">
        <v>440</v>
      </c>
      <c r="C33" s="67" t="s">
        <v>441</v>
      </c>
      <c r="D33" s="67" t="s">
        <v>228</v>
      </c>
      <c r="E33" s="90">
        <f>(2+3.15)*2*2</f>
        <v>20.6</v>
      </c>
      <c r="F33" s="90" t="s">
        <v>436</v>
      </c>
      <c r="G33" s="147" t="s">
        <v>434</v>
      </c>
    </row>
    <row r="34" spans="1:7">
      <c r="A34" s="68"/>
      <c r="B34" s="67" t="s">
        <v>440</v>
      </c>
      <c r="C34" s="67" t="s">
        <v>441</v>
      </c>
      <c r="D34" s="67" t="s">
        <v>228</v>
      </c>
      <c r="E34" s="90">
        <f>(2+3)*2*2</f>
        <v>20</v>
      </c>
      <c r="F34" s="90" t="s">
        <v>437</v>
      </c>
      <c r="G34" s="147" t="s">
        <v>435</v>
      </c>
    </row>
    <row r="35" spans="1:7">
      <c r="A35" s="68"/>
      <c r="B35" s="67" t="s">
        <v>440</v>
      </c>
      <c r="C35" s="67" t="s">
        <v>441</v>
      </c>
      <c r="D35" s="67" t="s">
        <v>228</v>
      </c>
      <c r="E35" s="90">
        <f>(3*6+1.2*3*2)</f>
        <v>25.2</v>
      </c>
      <c r="F35" s="90" t="s">
        <v>454</v>
      </c>
      <c r="G35" s="147" t="s">
        <v>453</v>
      </c>
    </row>
    <row r="36" spans="1:7">
      <c r="A36" s="68"/>
      <c r="B36" s="148" t="s">
        <v>440</v>
      </c>
      <c r="C36" s="148" t="s">
        <v>441</v>
      </c>
      <c r="D36" s="148" t="s">
        <v>228</v>
      </c>
      <c r="E36" s="148">
        <f>SUM(E28:E35)</f>
        <v>1011.32</v>
      </c>
      <c r="F36" s="149" t="s">
        <v>438</v>
      </c>
      <c r="G36" s="150"/>
    </row>
    <row r="37" spans="1:7">
      <c r="A37" s="68"/>
      <c r="B37" s="67"/>
      <c r="C37" s="67"/>
      <c r="D37" s="67"/>
      <c r="E37" s="67"/>
      <c r="F37" s="90"/>
      <c r="G37" s="147"/>
    </row>
    <row r="38" spans="1:7">
      <c r="A38" s="132" t="s">
        <v>355</v>
      </c>
      <c r="B38" s="145"/>
      <c r="C38" s="145" t="s">
        <v>56</v>
      </c>
      <c r="D38" s="133"/>
      <c r="E38" s="133"/>
      <c r="F38" s="134"/>
      <c r="G38" s="135"/>
    </row>
    <row r="39" spans="1:7">
      <c r="A39" s="68"/>
      <c r="B39" s="90" t="s">
        <v>356</v>
      </c>
      <c r="C39" s="90" t="s">
        <v>357</v>
      </c>
      <c r="D39" s="90" t="s">
        <v>358</v>
      </c>
      <c r="E39" s="67">
        <v>11</v>
      </c>
      <c r="F39" s="90" t="s">
        <v>359</v>
      </c>
      <c r="G39" s="68"/>
    </row>
    <row r="40" spans="1:7">
      <c r="A40" s="68"/>
      <c r="B40" s="67" t="s">
        <v>411</v>
      </c>
      <c r="C40" s="67" t="s">
        <v>412</v>
      </c>
      <c r="D40" s="67" t="s">
        <v>220</v>
      </c>
      <c r="E40" s="67">
        <v>6</v>
      </c>
      <c r="F40" s="90" t="s">
        <v>413</v>
      </c>
      <c r="G40" s="68"/>
    </row>
    <row r="41" spans="1:7">
      <c r="A41" s="68"/>
      <c r="B41" s="90" t="s">
        <v>464</v>
      </c>
      <c r="C41" s="90" t="s">
        <v>465</v>
      </c>
      <c r="D41" s="90" t="s">
        <v>466</v>
      </c>
      <c r="E41" s="67">
        <f>3*0.5*3</f>
        <v>4.5</v>
      </c>
      <c r="F41" s="90" t="s">
        <v>483</v>
      </c>
      <c r="G41" s="68"/>
    </row>
    <row r="42" spans="1:7">
      <c r="A42" s="68"/>
      <c r="B42" s="67" t="s">
        <v>295</v>
      </c>
      <c r="C42" s="67" t="s">
        <v>213</v>
      </c>
      <c r="D42" s="67" t="s">
        <v>469</v>
      </c>
      <c r="E42" s="143">
        <f>4.5*2.48*0.001</f>
        <v>1.116E-2</v>
      </c>
      <c r="F42" s="90" t="s">
        <v>481</v>
      </c>
      <c r="G42" s="68"/>
    </row>
    <row r="43" spans="1:7">
      <c r="A43" s="68"/>
      <c r="B43" s="67" t="s">
        <v>484</v>
      </c>
      <c r="C43" s="67" t="s">
        <v>485</v>
      </c>
      <c r="D43" s="67" t="s">
        <v>228</v>
      </c>
      <c r="E43" s="67">
        <f>6.6+4</f>
        <v>10.6</v>
      </c>
      <c r="F43" s="90" t="s">
        <v>500</v>
      </c>
      <c r="G43" s="68"/>
    </row>
    <row r="44" spans="1:7">
      <c r="A44" s="68"/>
      <c r="B44" s="67"/>
      <c r="C44" s="67"/>
      <c r="D44" s="67"/>
      <c r="E44" s="67"/>
      <c r="F44" s="67"/>
      <c r="G44" s="68"/>
    </row>
    <row r="46" spans="1:7">
      <c r="F46" s="30"/>
    </row>
    <row r="47" spans="1:7">
      <c r="F47" s="30"/>
    </row>
    <row r="48" spans="1:7">
      <c r="F48" s="30"/>
    </row>
    <row r="49" spans="6:6">
      <c r="F49" s="30"/>
    </row>
    <row r="50" spans="6:6">
      <c r="F50" s="30"/>
    </row>
    <row r="51" spans="6:6">
      <c r="F51" s="30"/>
    </row>
  </sheetData>
  <mergeCells count="1">
    <mergeCell ref="A1:G1"/>
  </mergeCells>
  <phoneticPr fontId="7" type="noConversion"/>
  <pageMargins left="0.70866141732283472" right="0.70866141732283472" top="0.51181102362204722" bottom="0.47244094488188981" header="0.31496062992125984" footer="0.31496062992125984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P339"/>
  <sheetViews>
    <sheetView zoomScale="70" zoomScaleNormal="70" workbookViewId="0">
      <pane ySplit="4" topLeftCell="A59" activePane="bottomLeft" state="frozen"/>
      <selection pane="bottomLeft" activeCell="O91" sqref="O91"/>
    </sheetView>
  </sheetViews>
  <sheetFormatPr defaultColWidth="9" defaultRowHeight="16.5"/>
  <cols>
    <col min="1" max="1" width="9" customWidth="1"/>
    <col min="2" max="2" width="42.625" bestFit="1" customWidth="1"/>
    <col min="3" max="3" width="28.25" bestFit="1" customWidth="1"/>
    <col min="4" max="4" width="5.25" style="30" bestFit="1" customWidth="1"/>
    <col min="5" max="5" width="10.875" style="50" bestFit="1" customWidth="1"/>
    <col min="6" max="6" width="10.25" bestFit="1" customWidth="1"/>
    <col min="7" max="7" width="11" bestFit="1" customWidth="1"/>
    <col min="8" max="8" width="10.875" bestFit="1" customWidth="1"/>
    <col min="9" max="9" width="10.625" bestFit="1" customWidth="1"/>
    <col min="10" max="11" width="9.5" bestFit="1" customWidth="1"/>
    <col min="12" max="13" width="10.875" bestFit="1" customWidth="1"/>
    <col min="14" max="14" width="17.375" bestFit="1" customWidth="1"/>
    <col min="16" max="16" width="9" bestFit="1" customWidth="1"/>
  </cols>
  <sheetData>
    <row r="1" spans="1:16" ht="31.5">
      <c r="B1" s="108" t="s">
        <v>324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6">
      <c r="A2" s="10" t="s">
        <v>150</v>
      </c>
      <c r="B2" s="10"/>
      <c r="C2" s="8"/>
      <c r="D2" s="39"/>
      <c r="E2" s="51"/>
      <c r="F2" s="8"/>
      <c r="G2" s="8"/>
      <c r="H2" s="8"/>
      <c r="I2" s="8"/>
      <c r="J2" s="8"/>
      <c r="K2" s="8"/>
      <c r="L2" s="8"/>
      <c r="M2" s="8"/>
      <c r="N2" s="8"/>
    </row>
    <row r="3" spans="1:16" ht="16.350000000000001" customHeight="1">
      <c r="A3" s="124" t="s">
        <v>187</v>
      </c>
      <c r="B3" s="125"/>
      <c r="C3" s="121" t="s">
        <v>167</v>
      </c>
      <c r="D3" s="121" t="s">
        <v>52</v>
      </c>
      <c r="E3" s="123" t="s">
        <v>64</v>
      </c>
      <c r="F3" s="121" t="s">
        <v>40</v>
      </c>
      <c r="G3" s="121"/>
      <c r="H3" s="121" t="s">
        <v>39</v>
      </c>
      <c r="I3" s="121"/>
      <c r="J3" s="121" t="s">
        <v>16</v>
      </c>
      <c r="K3" s="121"/>
      <c r="L3" s="121" t="s">
        <v>10</v>
      </c>
      <c r="M3" s="121"/>
      <c r="N3" s="121" t="s">
        <v>66</v>
      </c>
    </row>
    <row r="4" spans="1:16">
      <c r="A4" s="126"/>
      <c r="B4" s="127"/>
      <c r="C4" s="121"/>
      <c r="D4" s="121"/>
      <c r="E4" s="123"/>
      <c r="F4" s="9" t="s">
        <v>36</v>
      </c>
      <c r="G4" s="9" t="s">
        <v>37</v>
      </c>
      <c r="H4" s="9" t="s">
        <v>36</v>
      </c>
      <c r="I4" s="9" t="s">
        <v>37</v>
      </c>
      <c r="J4" s="9" t="s">
        <v>36</v>
      </c>
      <c r="K4" s="9" t="s">
        <v>37</v>
      </c>
      <c r="L4" s="9" t="s">
        <v>36</v>
      </c>
      <c r="M4" s="9" t="s">
        <v>37</v>
      </c>
      <c r="N4" s="121"/>
    </row>
    <row r="5" spans="1:16" s="35" customFormat="1" ht="15" customHeight="1">
      <c r="A5" s="47" t="s">
        <v>339</v>
      </c>
      <c r="B5" s="58" t="s">
        <v>338</v>
      </c>
      <c r="C5" s="37"/>
      <c r="D5" s="42"/>
      <c r="E5" s="52"/>
      <c r="F5" s="34"/>
      <c r="G5" s="34"/>
      <c r="H5" s="34"/>
      <c r="I5" s="34"/>
      <c r="J5" s="34"/>
      <c r="K5" s="34"/>
      <c r="L5" s="34"/>
      <c r="M5" s="34"/>
      <c r="N5" s="33"/>
    </row>
    <row r="6" spans="1:16" s="35" customFormat="1" ht="15" customHeight="1">
      <c r="A6" s="47"/>
      <c r="B6" s="58" t="s">
        <v>326</v>
      </c>
      <c r="C6" s="57" t="s">
        <v>327</v>
      </c>
      <c r="D6" s="59" t="s">
        <v>220</v>
      </c>
      <c r="E6" s="52">
        <v>0.12</v>
      </c>
      <c r="F6" s="34">
        <v>20830</v>
      </c>
      <c r="G6" s="34">
        <v>2499.6</v>
      </c>
      <c r="H6" s="34">
        <v>0</v>
      </c>
      <c r="I6" s="34">
        <v>0</v>
      </c>
      <c r="J6" s="34">
        <v>0</v>
      </c>
      <c r="K6" s="34">
        <v>0</v>
      </c>
      <c r="L6" s="34">
        <v>20830</v>
      </c>
      <c r="M6" s="34">
        <v>2499.6</v>
      </c>
      <c r="N6" s="33" t="s">
        <v>56</v>
      </c>
    </row>
    <row r="7" spans="1:16" s="35" customFormat="1" ht="15" customHeight="1">
      <c r="A7" s="47"/>
      <c r="B7" s="58" t="s">
        <v>326</v>
      </c>
      <c r="C7" s="57" t="s">
        <v>328</v>
      </c>
      <c r="D7" s="59" t="s">
        <v>220</v>
      </c>
      <c r="E7" s="52">
        <v>0.12</v>
      </c>
      <c r="F7" s="34">
        <v>6640</v>
      </c>
      <c r="G7" s="34">
        <v>796.8</v>
      </c>
      <c r="H7" s="34">
        <v>0</v>
      </c>
      <c r="I7" s="34">
        <v>0</v>
      </c>
      <c r="J7" s="34">
        <v>0</v>
      </c>
      <c r="K7" s="34">
        <v>0</v>
      </c>
      <c r="L7" s="34">
        <v>6640</v>
      </c>
      <c r="M7" s="34">
        <v>796.8</v>
      </c>
      <c r="N7" s="33" t="s">
        <v>56</v>
      </c>
    </row>
    <row r="8" spans="1:16" s="35" customFormat="1" ht="15" customHeight="1">
      <c r="A8" s="47"/>
      <c r="B8" s="58" t="s">
        <v>326</v>
      </c>
      <c r="C8" s="57" t="s">
        <v>329</v>
      </c>
      <c r="D8" s="59" t="s">
        <v>220</v>
      </c>
      <c r="E8" s="52">
        <v>0.24</v>
      </c>
      <c r="F8" s="34">
        <v>24500</v>
      </c>
      <c r="G8" s="34">
        <v>5880</v>
      </c>
      <c r="H8" s="34">
        <v>0</v>
      </c>
      <c r="I8" s="34">
        <v>0</v>
      </c>
      <c r="J8" s="34">
        <v>0</v>
      </c>
      <c r="K8" s="34">
        <v>0</v>
      </c>
      <c r="L8" s="34">
        <v>24500</v>
      </c>
      <c r="M8" s="34">
        <v>5880</v>
      </c>
      <c r="N8" s="33" t="s">
        <v>56</v>
      </c>
    </row>
    <row r="9" spans="1:16" s="35" customFormat="1" ht="15" customHeight="1">
      <c r="A9" s="47"/>
      <c r="B9" s="58" t="s">
        <v>326</v>
      </c>
      <c r="C9" s="57" t="s">
        <v>330</v>
      </c>
      <c r="D9" s="59" t="s">
        <v>220</v>
      </c>
      <c r="E9" s="52">
        <v>0.24</v>
      </c>
      <c r="F9" s="34">
        <v>10300</v>
      </c>
      <c r="G9" s="34">
        <v>2472</v>
      </c>
      <c r="H9" s="34">
        <v>0</v>
      </c>
      <c r="I9" s="34">
        <v>0</v>
      </c>
      <c r="J9" s="34">
        <v>0</v>
      </c>
      <c r="K9" s="34">
        <v>0</v>
      </c>
      <c r="L9" s="34">
        <v>10300</v>
      </c>
      <c r="M9" s="34">
        <v>2472</v>
      </c>
      <c r="N9" s="33" t="s">
        <v>56</v>
      </c>
    </row>
    <row r="10" spans="1:16" s="35" customFormat="1" ht="15" customHeight="1">
      <c r="A10" s="47"/>
      <c r="B10" s="58" t="s">
        <v>326</v>
      </c>
      <c r="C10" s="57" t="s">
        <v>331</v>
      </c>
      <c r="D10" s="59" t="s">
        <v>220</v>
      </c>
      <c r="E10" s="52">
        <v>0.12</v>
      </c>
      <c r="F10" s="34">
        <v>6500</v>
      </c>
      <c r="G10" s="34">
        <v>780</v>
      </c>
      <c r="H10" s="34">
        <v>0</v>
      </c>
      <c r="I10" s="34">
        <v>0</v>
      </c>
      <c r="J10" s="34">
        <v>0</v>
      </c>
      <c r="K10" s="34">
        <v>0</v>
      </c>
      <c r="L10" s="34">
        <v>6500</v>
      </c>
      <c r="M10" s="34">
        <v>780</v>
      </c>
      <c r="N10" s="33" t="s">
        <v>56</v>
      </c>
    </row>
    <row r="11" spans="1:16" s="35" customFormat="1" ht="15" customHeight="1">
      <c r="A11" s="47"/>
      <c r="B11" s="58" t="s">
        <v>326</v>
      </c>
      <c r="C11" s="57" t="s">
        <v>332</v>
      </c>
      <c r="D11" s="59" t="s">
        <v>220</v>
      </c>
      <c r="E11" s="52">
        <v>0.24</v>
      </c>
      <c r="F11" s="34">
        <v>7800</v>
      </c>
      <c r="G11" s="34">
        <v>1872</v>
      </c>
      <c r="H11" s="34">
        <v>0</v>
      </c>
      <c r="I11" s="34">
        <v>0</v>
      </c>
      <c r="J11" s="34">
        <v>0</v>
      </c>
      <c r="K11" s="34">
        <v>0</v>
      </c>
      <c r="L11" s="34">
        <v>7800</v>
      </c>
      <c r="M11" s="34">
        <v>1872</v>
      </c>
      <c r="N11" s="33" t="s">
        <v>56</v>
      </c>
    </row>
    <row r="12" spans="1:16" s="35" customFormat="1" ht="15" customHeight="1">
      <c r="A12" s="47"/>
      <c r="B12" s="58" t="s">
        <v>326</v>
      </c>
      <c r="C12" s="57" t="s">
        <v>333</v>
      </c>
      <c r="D12" s="59" t="s">
        <v>220</v>
      </c>
      <c r="E12" s="52">
        <v>0.36</v>
      </c>
      <c r="F12" s="34">
        <v>10000</v>
      </c>
      <c r="G12" s="34">
        <v>3600</v>
      </c>
      <c r="H12" s="34">
        <v>0</v>
      </c>
      <c r="I12" s="34">
        <v>0</v>
      </c>
      <c r="J12" s="34">
        <v>0</v>
      </c>
      <c r="K12" s="34">
        <v>0</v>
      </c>
      <c r="L12" s="34">
        <v>10000</v>
      </c>
      <c r="M12" s="34">
        <v>3600</v>
      </c>
      <c r="N12" s="33" t="s">
        <v>56</v>
      </c>
    </row>
    <row r="13" spans="1:16" s="35" customFormat="1" ht="15" customHeight="1">
      <c r="A13" s="47"/>
      <c r="B13" s="58" t="s">
        <v>326</v>
      </c>
      <c r="C13" s="57" t="s">
        <v>334</v>
      </c>
      <c r="D13" s="59" t="s">
        <v>220</v>
      </c>
      <c r="E13" s="52">
        <v>0.36</v>
      </c>
      <c r="F13" s="34">
        <v>9000</v>
      </c>
      <c r="G13" s="34">
        <v>3240</v>
      </c>
      <c r="H13" s="34">
        <v>0</v>
      </c>
      <c r="I13" s="34">
        <v>0</v>
      </c>
      <c r="J13" s="34">
        <v>0</v>
      </c>
      <c r="K13" s="34">
        <v>0</v>
      </c>
      <c r="L13" s="34">
        <v>9000</v>
      </c>
      <c r="M13" s="34">
        <v>3240</v>
      </c>
      <c r="N13" s="33" t="s">
        <v>56</v>
      </c>
    </row>
    <row r="14" spans="1:16" s="35" customFormat="1" ht="15" customHeight="1">
      <c r="A14" s="47"/>
      <c r="B14" s="58" t="s">
        <v>335</v>
      </c>
      <c r="C14" s="57" t="s">
        <v>336</v>
      </c>
      <c r="D14" s="59" t="s">
        <v>235</v>
      </c>
      <c r="E14" s="52">
        <v>3.15E-2</v>
      </c>
      <c r="F14" s="34">
        <v>389221.55</v>
      </c>
      <c r="G14" s="34">
        <v>12260.4</v>
      </c>
      <c r="H14" s="34">
        <v>0</v>
      </c>
      <c r="I14" s="34">
        <v>0</v>
      </c>
      <c r="J14" s="34">
        <v>0</v>
      </c>
      <c r="K14" s="34">
        <v>0</v>
      </c>
      <c r="L14" s="34">
        <v>389221.5</v>
      </c>
      <c r="M14" s="34">
        <v>12260.4</v>
      </c>
      <c r="N14" s="33" t="s">
        <v>56</v>
      </c>
    </row>
    <row r="15" spans="1:16" s="35" customFormat="1" ht="15" customHeight="1">
      <c r="A15" s="47"/>
      <c r="B15" s="58" t="s">
        <v>61</v>
      </c>
      <c r="C15" s="57" t="s">
        <v>337</v>
      </c>
      <c r="D15" s="59" t="s">
        <v>218</v>
      </c>
      <c r="E15" s="52">
        <v>0.6</v>
      </c>
      <c r="F15" s="34">
        <v>0</v>
      </c>
      <c r="G15" s="34">
        <v>0</v>
      </c>
      <c r="H15" s="34">
        <v>89566</v>
      </c>
      <c r="I15" s="34">
        <v>53739.6</v>
      </c>
      <c r="J15" s="34">
        <v>0</v>
      </c>
      <c r="K15" s="34">
        <v>0</v>
      </c>
      <c r="L15" s="34">
        <v>89566</v>
      </c>
      <c r="M15" s="34">
        <v>53739.6</v>
      </c>
      <c r="N15" s="33" t="s">
        <v>56</v>
      </c>
    </row>
    <row r="16" spans="1:16" ht="15" customHeight="1">
      <c r="A16" s="48"/>
      <c r="B16" s="49" t="s">
        <v>151</v>
      </c>
      <c r="C16" s="46" t="s">
        <v>56</v>
      </c>
      <c r="D16" s="41" t="s">
        <v>56</v>
      </c>
      <c r="E16" s="75"/>
      <c r="F16" s="17"/>
      <c r="G16" s="17">
        <v>33400</v>
      </c>
      <c r="H16" s="17"/>
      <c r="I16" s="17">
        <v>53739</v>
      </c>
      <c r="J16" s="17"/>
      <c r="K16" s="17">
        <v>0</v>
      </c>
      <c r="L16" s="36"/>
      <c r="M16" s="17">
        <v>87139</v>
      </c>
      <c r="N16" s="2" t="s">
        <v>56</v>
      </c>
      <c r="O16" t="str">
        <f>A5</f>
        <v>일위01호</v>
      </c>
      <c r="P16" s="35"/>
    </row>
    <row r="17" spans="1:16" s="35" customFormat="1" ht="15" customHeight="1">
      <c r="A17" s="47" t="s">
        <v>378</v>
      </c>
      <c r="B17" s="58" t="s">
        <v>379</v>
      </c>
      <c r="C17" s="57" t="s">
        <v>371</v>
      </c>
      <c r="D17" s="59" t="s">
        <v>50</v>
      </c>
      <c r="E17" s="52"/>
      <c r="F17" s="34"/>
      <c r="G17" s="34"/>
      <c r="H17" s="34"/>
      <c r="I17" s="34"/>
      <c r="J17" s="34"/>
      <c r="K17" s="34"/>
      <c r="L17" s="34"/>
      <c r="M17" s="34"/>
      <c r="N17" s="33" t="s">
        <v>373</v>
      </c>
    </row>
    <row r="18" spans="1:16" s="35" customFormat="1" ht="15" customHeight="1">
      <c r="A18" s="47"/>
      <c r="B18" s="58" t="s">
        <v>226</v>
      </c>
      <c r="C18" s="57" t="s">
        <v>56</v>
      </c>
      <c r="D18" s="59" t="s">
        <v>218</v>
      </c>
      <c r="E18" s="52">
        <v>2.9000000000000001E-2</v>
      </c>
      <c r="F18" s="34"/>
      <c r="G18" s="34"/>
      <c r="H18" s="34">
        <v>137611</v>
      </c>
      <c r="I18" s="34">
        <f>E18*H18</f>
        <v>3990.7190000000001</v>
      </c>
      <c r="J18" s="34"/>
      <c r="K18" s="34"/>
      <c r="L18" s="34">
        <v>137611</v>
      </c>
      <c r="M18" s="34">
        <v>3990.7</v>
      </c>
      <c r="N18" s="33" t="s">
        <v>56</v>
      </c>
    </row>
    <row r="19" spans="1:16" s="35" customFormat="1" ht="15" customHeight="1">
      <c r="A19" s="47"/>
      <c r="B19" s="58" t="s">
        <v>61</v>
      </c>
      <c r="C19" s="57" t="s">
        <v>56</v>
      </c>
      <c r="D19" s="59" t="s">
        <v>218</v>
      </c>
      <c r="E19" s="52">
        <v>2.3E-2</v>
      </c>
      <c r="F19" s="34"/>
      <c r="G19" s="34"/>
      <c r="H19" s="34">
        <v>89566</v>
      </c>
      <c r="I19" s="34">
        <f t="shared" ref="I19:I39" si="0">E19*H19</f>
        <v>2060.018</v>
      </c>
      <c r="J19" s="34"/>
      <c r="K19" s="34"/>
      <c r="L19" s="34">
        <v>89566</v>
      </c>
      <c r="M19" s="34">
        <v>2060</v>
      </c>
      <c r="N19" s="33" t="s">
        <v>56</v>
      </c>
    </row>
    <row r="20" spans="1:16" s="35" customFormat="1" ht="15" customHeight="1">
      <c r="A20" s="47"/>
      <c r="B20" s="58" t="s">
        <v>374</v>
      </c>
      <c r="C20" s="57" t="s">
        <v>375</v>
      </c>
      <c r="D20" s="59" t="s">
        <v>197</v>
      </c>
      <c r="E20" s="52">
        <v>4.4499999999999998E-2</v>
      </c>
      <c r="F20" s="34">
        <v>9179</v>
      </c>
      <c r="G20" s="34">
        <v>408.4</v>
      </c>
      <c r="H20" s="34">
        <v>27168</v>
      </c>
      <c r="I20" s="34">
        <f t="shared" si="0"/>
        <v>1208.9759999999999</v>
      </c>
      <c r="J20" s="34">
        <v>47994</v>
      </c>
      <c r="K20" s="34">
        <v>2135.6999999999998</v>
      </c>
      <c r="L20" s="34">
        <v>84341</v>
      </c>
      <c r="M20" s="34">
        <v>3753</v>
      </c>
      <c r="N20" s="33" t="s">
        <v>376</v>
      </c>
    </row>
    <row r="21" spans="1:16" s="35" customFormat="1" ht="15" customHeight="1">
      <c r="A21" s="47"/>
      <c r="B21" s="58" t="s">
        <v>71</v>
      </c>
      <c r="C21" s="57" t="s">
        <v>302</v>
      </c>
      <c r="D21" s="59" t="s">
        <v>58</v>
      </c>
      <c r="E21" s="52" t="s">
        <v>221</v>
      </c>
      <c r="F21" s="34">
        <v>6050.7</v>
      </c>
      <c r="G21" s="34">
        <v>181.5</v>
      </c>
      <c r="H21" s="34"/>
      <c r="I21" s="34">
        <f t="shared" si="0"/>
        <v>0</v>
      </c>
      <c r="J21" s="34"/>
      <c r="K21" s="34"/>
      <c r="L21" s="34">
        <v>6050.7</v>
      </c>
      <c r="M21" s="34">
        <v>181.5</v>
      </c>
      <c r="N21" s="33" t="s">
        <v>96</v>
      </c>
    </row>
    <row r="22" spans="1:16" ht="15" customHeight="1">
      <c r="A22" s="48"/>
      <c r="B22" s="49" t="s">
        <v>377</v>
      </c>
      <c r="C22" s="46"/>
      <c r="D22" s="41"/>
      <c r="E22" s="75"/>
      <c r="F22" s="17"/>
      <c r="G22" s="17">
        <v>589</v>
      </c>
      <c r="H22" s="17"/>
      <c r="I22" s="17">
        <f>SUM(I18:I21)</f>
        <v>7259.7129999999997</v>
      </c>
      <c r="J22" s="17"/>
      <c r="K22" s="17">
        <v>2135</v>
      </c>
      <c r="L22" s="36"/>
      <c r="M22" s="17">
        <v>9983</v>
      </c>
      <c r="N22" s="2"/>
      <c r="O22" t="str">
        <f>A17</f>
        <v>일위02호</v>
      </c>
      <c r="P22" s="35"/>
    </row>
    <row r="23" spans="1:16" s="35" customFormat="1" ht="15" customHeight="1">
      <c r="A23" s="47" t="s">
        <v>392</v>
      </c>
      <c r="B23" s="58" t="s">
        <v>390</v>
      </c>
      <c r="C23" s="57"/>
      <c r="D23" s="59"/>
      <c r="E23" s="52"/>
      <c r="F23" s="34"/>
      <c r="G23" s="34"/>
      <c r="H23" s="34"/>
      <c r="I23" s="34"/>
      <c r="J23" s="34"/>
      <c r="K23" s="34"/>
      <c r="L23" s="34"/>
      <c r="M23" s="34"/>
      <c r="N23" s="33"/>
    </row>
    <row r="24" spans="1:16" s="35" customFormat="1" ht="15" customHeight="1">
      <c r="A24" s="47"/>
      <c r="B24" s="58" t="s">
        <v>385</v>
      </c>
      <c r="C24" s="57" t="s">
        <v>386</v>
      </c>
      <c r="D24" s="59" t="s">
        <v>227</v>
      </c>
      <c r="E24" s="52">
        <v>3.9</v>
      </c>
      <c r="F24" s="34">
        <v>3400</v>
      </c>
      <c r="G24" s="34">
        <v>13260</v>
      </c>
      <c r="H24" s="34">
        <v>0</v>
      </c>
      <c r="I24" s="34">
        <f t="shared" si="0"/>
        <v>0</v>
      </c>
      <c r="J24" s="34">
        <v>0</v>
      </c>
      <c r="K24" s="34">
        <v>0</v>
      </c>
      <c r="L24" s="34">
        <f>SUM(F24,H24,J24)</f>
        <v>3400</v>
      </c>
      <c r="M24" s="34">
        <f>SUM(G24,I24,K24)</f>
        <v>13260</v>
      </c>
      <c r="N24" s="33" t="s">
        <v>56</v>
      </c>
    </row>
    <row r="25" spans="1:16" s="35" customFormat="1" ht="15" customHeight="1">
      <c r="A25" s="47"/>
      <c r="B25" s="58" t="s">
        <v>385</v>
      </c>
      <c r="C25" s="57" t="s">
        <v>387</v>
      </c>
      <c r="D25" s="59" t="s">
        <v>227</v>
      </c>
      <c r="E25" s="52">
        <v>0.29499999999999998</v>
      </c>
      <c r="F25" s="34">
        <v>4000</v>
      </c>
      <c r="G25" s="34">
        <v>1180</v>
      </c>
      <c r="H25" s="34">
        <v>0</v>
      </c>
      <c r="I25" s="34">
        <f t="shared" si="0"/>
        <v>0</v>
      </c>
      <c r="J25" s="34">
        <v>0</v>
      </c>
      <c r="K25" s="34">
        <v>0</v>
      </c>
      <c r="L25" s="34">
        <f t="shared" ref="L25:L39" si="1">SUM(F25,H25,J25)</f>
        <v>4000</v>
      </c>
      <c r="M25" s="34">
        <f t="shared" ref="M25:M40" si="2">SUM(G25,I25,K25)</f>
        <v>1180</v>
      </c>
      <c r="N25" s="33" t="s">
        <v>56</v>
      </c>
    </row>
    <row r="26" spans="1:16" s="35" customFormat="1" ht="15" customHeight="1">
      <c r="A26" s="47"/>
      <c r="B26" s="58" t="s">
        <v>385</v>
      </c>
      <c r="C26" s="57" t="s">
        <v>388</v>
      </c>
      <c r="D26" s="59" t="s">
        <v>211</v>
      </c>
      <c r="E26" s="52">
        <v>0.40200000000000002</v>
      </c>
      <c r="F26" s="34">
        <v>3450</v>
      </c>
      <c r="G26" s="34">
        <v>1386.9</v>
      </c>
      <c r="H26" s="34">
        <v>0</v>
      </c>
      <c r="I26" s="34">
        <f t="shared" si="0"/>
        <v>0</v>
      </c>
      <c r="J26" s="34">
        <v>0</v>
      </c>
      <c r="K26" s="34">
        <v>0</v>
      </c>
      <c r="L26" s="34">
        <f t="shared" si="1"/>
        <v>3450</v>
      </c>
      <c r="M26" s="34">
        <f t="shared" si="2"/>
        <v>1386.9</v>
      </c>
      <c r="N26" s="33" t="s">
        <v>56</v>
      </c>
    </row>
    <row r="27" spans="1:16" s="35" customFormat="1" ht="15" customHeight="1">
      <c r="A27" s="47"/>
      <c r="B27" s="58" t="s">
        <v>385</v>
      </c>
      <c r="C27" s="57" t="s">
        <v>389</v>
      </c>
      <c r="D27" s="59" t="s">
        <v>211</v>
      </c>
      <c r="E27" s="52">
        <v>0.41</v>
      </c>
      <c r="F27" s="34">
        <v>1980</v>
      </c>
      <c r="G27" s="34">
        <v>811.8</v>
      </c>
      <c r="H27" s="34">
        <v>0</v>
      </c>
      <c r="I27" s="34">
        <f t="shared" si="0"/>
        <v>0</v>
      </c>
      <c r="J27" s="34">
        <v>0</v>
      </c>
      <c r="K27" s="34">
        <v>0</v>
      </c>
      <c r="L27" s="34">
        <f t="shared" si="1"/>
        <v>1980</v>
      </c>
      <c r="M27" s="34">
        <f t="shared" si="2"/>
        <v>811.8</v>
      </c>
      <c r="N27" s="33" t="s">
        <v>56</v>
      </c>
    </row>
    <row r="28" spans="1:16" s="35" customFormat="1" ht="15" customHeight="1">
      <c r="A28" s="47"/>
      <c r="B28" s="58" t="s">
        <v>55</v>
      </c>
      <c r="C28" s="57" t="s">
        <v>196</v>
      </c>
      <c r="D28" s="59" t="s">
        <v>218</v>
      </c>
      <c r="E28" s="52">
        <v>0.08</v>
      </c>
      <c r="F28" s="34">
        <v>0</v>
      </c>
      <c r="G28" s="34">
        <v>0</v>
      </c>
      <c r="H28" s="34">
        <v>105008</v>
      </c>
      <c r="I28" s="34">
        <f t="shared" si="0"/>
        <v>8400.64</v>
      </c>
      <c r="J28" s="34">
        <v>0</v>
      </c>
      <c r="K28" s="34">
        <v>0</v>
      </c>
      <c r="L28" s="34">
        <f t="shared" si="1"/>
        <v>105008</v>
      </c>
      <c r="M28" s="34">
        <f t="shared" si="2"/>
        <v>8400.64</v>
      </c>
      <c r="N28" s="33" t="s">
        <v>56</v>
      </c>
    </row>
    <row r="29" spans="1:16" s="35" customFormat="1" ht="15" customHeight="1">
      <c r="A29" s="47"/>
      <c r="B29" s="58" t="s">
        <v>55</v>
      </c>
      <c r="C29" s="57" t="s">
        <v>61</v>
      </c>
      <c r="D29" s="59" t="s">
        <v>218</v>
      </c>
      <c r="E29" s="52">
        <v>0.05</v>
      </c>
      <c r="F29" s="34">
        <v>0</v>
      </c>
      <c r="G29" s="34">
        <v>0</v>
      </c>
      <c r="H29" s="34">
        <v>89566</v>
      </c>
      <c r="I29" s="34">
        <f t="shared" si="0"/>
        <v>4478.3</v>
      </c>
      <c r="J29" s="34">
        <v>0</v>
      </c>
      <c r="K29" s="34">
        <v>0</v>
      </c>
      <c r="L29" s="34">
        <f t="shared" si="1"/>
        <v>89566</v>
      </c>
      <c r="M29" s="34">
        <f t="shared" si="2"/>
        <v>4478.3</v>
      </c>
      <c r="N29" s="33" t="s">
        <v>56</v>
      </c>
    </row>
    <row r="30" spans="1:16" s="35" customFormat="1" ht="15" customHeight="1">
      <c r="A30" s="47"/>
      <c r="B30" s="58" t="s">
        <v>71</v>
      </c>
      <c r="C30" s="57" t="s">
        <v>302</v>
      </c>
      <c r="D30" s="59" t="s">
        <v>58</v>
      </c>
      <c r="E30" s="52">
        <v>1</v>
      </c>
      <c r="F30" s="34">
        <v>374.32</v>
      </c>
      <c r="G30" s="34">
        <v>374.3</v>
      </c>
      <c r="H30" s="34">
        <v>0</v>
      </c>
      <c r="I30" s="34">
        <f t="shared" si="0"/>
        <v>0</v>
      </c>
      <c r="J30" s="34">
        <v>0</v>
      </c>
      <c r="K30" s="34">
        <v>0</v>
      </c>
      <c r="L30" s="34">
        <f t="shared" si="1"/>
        <v>374.32</v>
      </c>
      <c r="M30" s="34">
        <f t="shared" si="2"/>
        <v>374.3</v>
      </c>
      <c r="N30" s="33" t="s">
        <v>56</v>
      </c>
    </row>
    <row r="31" spans="1:16" ht="15" customHeight="1">
      <c r="A31" s="48"/>
      <c r="B31" s="49" t="s">
        <v>151</v>
      </c>
      <c r="C31" s="46" t="s">
        <v>56</v>
      </c>
      <c r="D31" s="41" t="s">
        <v>56</v>
      </c>
      <c r="E31" s="75"/>
      <c r="F31" s="17"/>
      <c r="G31" s="17">
        <v>17013</v>
      </c>
      <c r="H31" s="17"/>
      <c r="I31" s="17">
        <f>SUM(I24:I30)</f>
        <v>12878.939999999999</v>
      </c>
      <c r="J31" s="17"/>
      <c r="K31" s="17">
        <v>0</v>
      </c>
      <c r="L31" s="36"/>
      <c r="M31" s="17">
        <f t="shared" si="2"/>
        <v>29891.94</v>
      </c>
      <c r="N31" s="2" t="s">
        <v>56</v>
      </c>
      <c r="O31" t="str">
        <f>A23</f>
        <v>일위03호</v>
      </c>
      <c r="P31" s="35"/>
    </row>
    <row r="32" spans="1:16" s="35" customFormat="1" ht="15" customHeight="1">
      <c r="A32" s="47" t="s">
        <v>393</v>
      </c>
      <c r="B32" s="58" t="s">
        <v>391</v>
      </c>
      <c r="C32" s="57"/>
      <c r="D32" s="59"/>
      <c r="E32" s="52"/>
      <c r="F32" s="34"/>
      <c r="G32" s="34"/>
      <c r="H32" s="34"/>
      <c r="I32" s="34"/>
      <c r="J32" s="34"/>
      <c r="K32" s="34"/>
      <c r="L32" s="34"/>
      <c r="M32" s="34"/>
      <c r="N32" s="33"/>
    </row>
    <row r="33" spans="1:16" s="35" customFormat="1" ht="15" customHeight="1">
      <c r="A33" s="47"/>
      <c r="B33" s="58" t="s">
        <v>385</v>
      </c>
      <c r="C33" s="57" t="s">
        <v>386</v>
      </c>
      <c r="D33" s="59" t="s">
        <v>227</v>
      </c>
      <c r="E33" s="52">
        <v>3.9</v>
      </c>
      <c r="F33" s="34">
        <v>3400</v>
      </c>
      <c r="G33" s="34">
        <v>13260</v>
      </c>
      <c r="H33" s="34">
        <v>0</v>
      </c>
      <c r="I33" s="34">
        <f t="shared" si="0"/>
        <v>0</v>
      </c>
      <c r="J33" s="34">
        <v>0</v>
      </c>
      <c r="K33" s="34">
        <v>0</v>
      </c>
      <c r="L33" s="34">
        <f t="shared" si="1"/>
        <v>3400</v>
      </c>
      <c r="M33" s="34">
        <f t="shared" si="2"/>
        <v>13260</v>
      </c>
      <c r="N33" s="33" t="s">
        <v>56</v>
      </c>
    </row>
    <row r="34" spans="1:16" s="35" customFormat="1" ht="15" customHeight="1">
      <c r="A34" s="47"/>
      <c r="B34" s="58" t="s">
        <v>385</v>
      </c>
      <c r="C34" s="57" t="s">
        <v>387</v>
      </c>
      <c r="D34" s="59" t="s">
        <v>227</v>
      </c>
      <c r="E34" s="52">
        <v>0.29499999999999998</v>
      </c>
      <c r="F34" s="34">
        <v>4000</v>
      </c>
      <c r="G34" s="34">
        <v>1180</v>
      </c>
      <c r="H34" s="34">
        <v>0</v>
      </c>
      <c r="I34" s="34">
        <f t="shared" si="0"/>
        <v>0</v>
      </c>
      <c r="J34" s="34">
        <v>0</v>
      </c>
      <c r="K34" s="34">
        <v>0</v>
      </c>
      <c r="L34" s="34">
        <f t="shared" si="1"/>
        <v>4000</v>
      </c>
      <c r="M34" s="34">
        <f t="shared" si="2"/>
        <v>1180</v>
      </c>
      <c r="N34" s="33" t="s">
        <v>56</v>
      </c>
    </row>
    <row r="35" spans="1:16" s="35" customFormat="1" ht="15" customHeight="1">
      <c r="A35" s="47"/>
      <c r="B35" s="58" t="s">
        <v>385</v>
      </c>
      <c r="C35" s="57" t="s">
        <v>388</v>
      </c>
      <c r="D35" s="59" t="s">
        <v>211</v>
      </c>
      <c r="E35" s="52">
        <v>0.40200000000000002</v>
      </c>
      <c r="F35" s="34">
        <v>3450</v>
      </c>
      <c r="G35" s="34">
        <v>1386.9</v>
      </c>
      <c r="H35" s="34">
        <v>0</v>
      </c>
      <c r="I35" s="34">
        <f t="shared" si="0"/>
        <v>0</v>
      </c>
      <c r="J35" s="34">
        <v>0</v>
      </c>
      <c r="K35" s="34">
        <v>0</v>
      </c>
      <c r="L35" s="34">
        <f t="shared" si="1"/>
        <v>3450</v>
      </c>
      <c r="M35" s="34">
        <f t="shared" si="2"/>
        <v>1386.9</v>
      </c>
      <c r="N35" s="33" t="s">
        <v>56</v>
      </c>
    </row>
    <row r="36" spans="1:16" s="35" customFormat="1" ht="15" customHeight="1">
      <c r="A36" s="47"/>
      <c r="B36" s="58" t="s">
        <v>385</v>
      </c>
      <c r="C36" s="57" t="s">
        <v>389</v>
      </c>
      <c r="D36" s="59" t="s">
        <v>211</v>
      </c>
      <c r="E36" s="52">
        <v>0.41</v>
      </c>
      <c r="F36" s="34">
        <v>1980</v>
      </c>
      <c r="G36" s="34">
        <v>811.8</v>
      </c>
      <c r="H36" s="34">
        <v>0</v>
      </c>
      <c r="I36" s="34">
        <f t="shared" si="0"/>
        <v>0</v>
      </c>
      <c r="J36" s="34">
        <v>0</v>
      </c>
      <c r="K36" s="34">
        <v>0</v>
      </c>
      <c r="L36" s="34">
        <f t="shared" si="1"/>
        <v>1980</v>
      </c>
      <c r="M36" s="34">
        <f t="shared" si="2"/>
        <v>811.8</v>
      </c>
      <c r="N36" s="33" t="s">
        <v>56</v>
      </c>
    </row>
    <row r="37" spans="1:16" s="35" customFormat="1" ht="15" customHeight="1">
      <c r="A37" s="47"/>
      <c r="B37" s="58" t="s">
        <v>55</v>
      </c>
      <c r="C37" s="57" t="s">
        <v>196</v>
      </c>
      <c r="D37" s="59" t="s">
        <v>218</v>
      </c>
      <c r="E37" s="52">
        <v>0.104</v>
      </c>
      <c r="F37" s="34">
        <v>0</v>
      </c>
      <c r="G37" s="34">
        <v>0</v>
      </c>
      <c r="H37" s="34">
        <v>105008</v>
      </c>
      <c r="I37" s="34">
        <f t="shared" si="0"/>
        <v>10920.832</v>
      </c>
      <c r="J37" s="34">
        <v>0</v>
      </c>
      <c r="K37" s="34">
        <v>0</v>
      </c>
      <c r="L37" s="34">
        <f t="shared" si="1"/>
        <v>105008</v>
      </c>
      <c r="M37" s="34">
        <f t="shared" si="2"/>
        <v>10920.832</v>
      </c>
      <c r="N37" s="33" t="s">
        <v>56</v>
      </c>
    </row>
    <row r="38" spans="1:16" s="35" customFormat="1" ht="15" customHeight="1">
      <c r="A38" s="47"/>
      <c r="B38" s="58" t="s">
        <v>55</v>
      </c>
      <c r="C38" s="57" t="s">
        <v>61</v>
      </c>
      <c r="D38" s="59" t="s">
        <v>218</v>
      </c>
      <c r="E38" s="52">
        <v>6.5000000000000002E-2</v>
      </c>
      <c r="F38" s="34">
        <v>0</v>
      </c>
      <c r="G38" s="34">
        <v>0</v>
      </c>
      <c r="H38" s="34">
        <v>89566</v>
      </c>
      <c r="I38" s="34">
        <f t="shared" si="0"/>
        <v>5821.79</v>
      </c>
      <c r="J38" s="34">
        <v>0</v>
      </c>
      <c r="K38" s="34">
        <v>0</v>
      </c>
      <c r="L38" s="34">
        <f t="shared" si="1"/>
        <v>89566</v>
      </c>
      <c r="M38" s="34">
        <f t="shared" si="2"/>
        <v>5821.79</v>
      </c>
      <c r="N38" s="33" t="s">
        <v>56</v>
      </c>
    </row>
    <row r="39" spans="1:16" s="35" customFormat="1" ht="15" customHeight="1">
      <c r="A39" s="47"/>
      <c r="B39" s="58" t="s">
        <v>71</v>
      </c>
      <c r="C39" s="57" t="s">
        <v>302</v>
      </c>
      <c r="D39" s="59" t="s">
        <v>58</v>
      </c>
      <c r="E39" s="52">
        <v>1</v>
      </c>
      <c r="F39" s="34">
        <v>486.62</v>
      </c>
      <c r="G39" s="34">
        <v>486.6</v>
      </c>
      <c r="H39" s="34">
        <v>0</v>
      </c>
      <c r="I39" s="34">
        <f t="shared" si="0"/>
        <v>0</v>
      </c>
      <c r="J39" s="34">
        <v>0</v>
      </c>
      <c r="K39" s="34">
        <v>0</v>
      </c>
      <c r="L39" s="34">
        <f t="shared" si="1"/>
        <v>486.62</v>
      </c>
      <c r="M39" s="34">
        <f t="shared" si="2"/>
        <v>486.6</v>
      </c>
      <c r="N39" s="33" t="s">
        <v>56</v>
      </c>
    </row>
    <row r="40" spans="1:16" ht="15" customHeight="1">
      <c r="A40" s="48"/>
      <c r="B40" s="49" t="s">
        <v>151</v>
      </c>
      <c r="C40" s="46" t="s">
        <v>56</v>
      </c>
      <c r="D40" s="41" t="s">
        <v>56</v>
      </c>
      <c r="E40" s="75"/>
      <c r="F40" s="17"/>
      <c r="G40" s="17">
        <v>17125</v>
      </c>
      <c r="H40" s="17"/>
      <c r="I40" s="17">
        <f>SUM(I33:I39)</f>
        <v>16742.621999999999</v>
      </c>
      <c r="J40" s="17"/>
      <c r="K40" s="17">
        <v>0</v>
      </c>
      <c r="L40" s="36"/>
      <c r="M40" s="17">
        <f t="shared" si="2"/>
        <v>33867.622000000003</v>
      </c>
      <c r="N40" s="2" t="s">
        <v>56</v>
      </c>
      <c r="O40" t="str">
        <f>A32</f>
        <v>일위04호</v>
      </c>
      <c r="P40" s="35"/>
    </row>
    <row r="41" spans="1:16" s="35" customFormat="1" ht="15" customHeight="1">
      <c r="A41" s="47" t="s">
        <v>399</v>
      </c>
      <c r="B41" s="58" t="s">
        <v>400</v>
      </c>
      <c r="C41" s="57" t="s">
        <v>397</v>
      </c>
      <c r="D41" s="59" t="s">
        <v>229</v>
      </c>
      <c r="E41" s="52"/>
      <c r="F41" s="34"/>
      <c r="G41" s="34"/>
      <c r="H41" s="34"/>
      <c r="I41" s="34"/>
      <c r="J41" s="34"/>
      <c r="K41" s="34"/>
      <c r="L41" s="34"/>
      <c r="M41" s="34"/>
      <c r="N41" s="33" t="s">
        <v>398</v>
      </c>
    </row>
    <row r="42" spans="1:16" s="35" customFormat="1" ht="15" customHeight="1">
      <c r="A42" s="47"/>
      <c r="B42" s="58" t="s">
        <v>61</v>
      </c>
      <c r="C42" s="57"/>
      <c r="D42" s="59" t="s">
        <v>218</v>
      </c>
      <c r="E42" s="52">
        <v>0.02</v>
      </c>
      <c r="F42" s="34"/>
      <c r="G42" s="34"/>
      <c r="H42" s="34">
        <v>87805</v>
      </c>
      <c r="I42" s="34">
        <v>1756.1</v>
      </c>
      <c r="J42" s="34"/>
      <c r="K42" s="34"/>
      <c r="L42" s="34">
        <v>87805</v>
      </c>
      <c r="M42" s="34">
        <v>1756.1</v>
      </c>
      <c r="N42" s="33"/>
    </row>
    <row r="43" spans="1:16" ht="15" customHeight="1">
      <c r="A43" s="48"/>
      <c r="B43" s="49" t="s">
        <v>48</v>
      </c>
      <c r="C43" s="46"/>
      <c r="D43" s="41"/>
      <c r="E43" s="75"/>
      <c r="F43" s="17"/>
      <c r="G43" s="17">
        <v>0</v>
      </c>
      <c r="H43" s="17"/>
      <c r="I43" s="17">
        <v>1756.1</v>
      </c>
      <c r="J43" s="17"/>
      <c r="K43" s="17"/>
      <c r="L43" s="36"/>
      <c r="M43" s="17">
        <v>1756.1</v>
      </c>
      <c r="N43" s="2"/>
      <c r="O43" t="str">
        <f>A41</f>
        <v>일위05호</v>
      </c>
      <c r="P43" s="35"/>
    </row>
    <row r="44" spans="1:16" s="35" customFormat="1" ht="15" customHeight="1">
      <c r="A44" s="47" t="s">
        <v>409</v>
      </c>
      <c r="B44" s="58" t="s">
        <v>408</v>
      </c>
      <c r="C44" s="57" t="s">
        <v>367</v>
      </c>
      <c r="D44" s="59" t="s">
        <v>229</v>
      </c>
      <c r="E44" s="52"/>
      <c r="F44" s="34"/>
      <c r="G44" s="34"/>
      <c r="H44" s="34"/>
      <c r="I44" s="34"/>
      <c r="J44" s="34"/>
      <c r="K44" s="34"/>
      <c r="L44" s="34"/>
      <c r="M44" s="34"/>
      <c r="N44" s="33" t="s">
        <v>402</v>
      </c>
    </row>
    <row r="45" spans="1:16" s="35" customFormat="1" ht="15" customHeight="1">
      <c r="A45" s="47"/>
      <c r="B45" s="58" t="s">
        <v>403</v>
      </c>
      <c r="C45" s="57"/>
      <c r="D45" s="59" t="s">
        <v>200</v>
      </c>
      <c r="E45" s="52">
        <v>0.3</v>
      </c>
      <c r="F45" s="34">
        <v>12000</v>
      </c>
      <c r="G45" s="34">
        <v>3600</v>
      </c>
      <c r="H45" s="34"/>
      <c r="I45" s="34"/>
      <c r="J45" s="34"/>
      <c r="K45" s="34"/>
      <c r="L45" s="34">
        <v>12000</v>
      </c>
      <c r="M45" s="34">
        <v>3600</v>
      </c>
      <c r="N45" s="33"/>
    </row>
    <row r="46" spans="1:16" s="35" customFormat="1" ht="15" customHeight="1">
      <c r="A46" s="47"/>
      <c r="B46" s="58" t="s">
        <v>404</v>
      </c>
      <c r="C46" s="57"/>
      <c r="D46" s="59" t="s">
        <v>200</v>
      </c>
      <c r="E46" s="52">
        <v>0.34</v>
      </c>
      <c r="F46" s="34">
        <v>15000</v>
      </c>
      <c r="G46" s="34">
        <v>5100</v>
      </c>
      <c r="H46" s="34"/>
      <c r="I46" s="34"/>
      <c r="J46" s="34"/>
      <c r="K46" s="34"/>
      <c r="L46" s="34">
        <v>15000</v>
      </c>
      <c r="M46" s="34">
        <v>5100</v>
      </c>
      <c r="N46" s="33"/>
    </row>
    <row r="47" spans="1:16" s="35" customFormat="1" ht="15" customHeight="1">
      <c r="A47" s="47"/>
      <c r="B47" s="58" t="s">
        <v>405</v>
      </c>
      <c r="C47" s="57"/>
      <c r="D47" s="59" t="s">
        <v>229</v>
      </c>
      <c r="E47" s="52">
        <v>1</v>
      </c>
      <c r="F47" s="34">
        <v>11000</v>
      </c>
      <c r="G47" s="34">
        <v>11000</v>
      </c>
      <c r="H47" s="34"/>
      <c r="I47" s="34"/>
      <c r="J47" s="34"/>
      <c r="K47" s="34"/>
      <c r="L47" s="34">
        <v>11000</v>
      </c>
      <c r="M47" s="34">
        <v>11000</v>
      </c>
      <c r="N47" s="33"/>
    </row>
    <row r="48" spans="1:16" s="35" customFormat="1" ht="15" customHeight="1">
      <c r="A48" s="47"/>
      <c r="B48" s="58" t="s">
        <v>406</v>
      </c>
      <c r="C48" s="57"/>
      <c r="D48" s="59" t="s">
        <v>229</v>
      </c>
      <c r="E48" s="52">
        <v>1</v>
      </c>
      <c r="F48" s="34">
        <v>30000</v>
      </c>
      <c r="G48" s="34">
        <v>30000</v>
      </c>
      <c r="H48" s="34"/>
      <c r="I48" s="34"/>
      <c r="J48" s="34"/>
      <c r="K48" s="34"/>
      <c r="L48" s="34">
        <v>30000</v>
      </c>
      <c r="M48" s="34">
        <v>30000</v>
      </c>
      <c r="N48" s="33"/>
    </row>
    <row r="49" spans="1:16" s="35" customFormat="1" ht="15" customHeight="1">
      <c r="A49" s="47"/>
      <c r="B49" s="58" t="s">
        <v>407</v>
      </c>
      <c r="C49" s="57"/>
      <c r="D49" s="59" t="s">
        <v>200</v>
      </c>
      <c r="E49" s="52">
        <v>0.35</v>
      </c>
      <c r="F49" s="34">
        <v>11000</v>
      </c>
      <c r="G49" s="34">
        <v>3850</v>
      </c>
      <c r="H49" s="34"/>
      <c r="I49" s="34"/>
      <c r="J49" s="34"/>
      <c r="K49" s="34"/>
      <c r="L49" s="34">
        <v>11000</v>
      </c>
      <c r="M49" s="34">
        <v>3850</v>
      </c>
      <c r="N49" s="33"/>
    </row>
    <row r="50" spans="1:16" s="35" customFormat="1" ht="15" customHeight="1">
      <c r="A50" s="47"/>
      <c r="B50" s="58" t="s">
        <v>196</v>
      </c>
      <c r="C50" s="57"/>
      <c r="D50" s="59" t="s">
        <v>218</v>
      </c>
      <c r="E50" s="52">
        <v>0.08</v>
      </c>
      <c r="F50" s="34"/>
      <c r="G50" s="34"/>
      <c r="H50" s="34">
        <v>101093</v>
      </c>
      <c r="I50" s="34">
        <v>8087.4</v>
      </c>
      <c r="J50" s="34"/>
      <c r="K50" s="34"/>
      <c r="L50" s="34">
        <v>101093</v>
      </c>
      <c r="M50" s="34">
        <v>8087.4</v>
      </c>
      <c r="N50" s="33"/>
    </row>
    <row r="51" spans="1:16" s="35" customFormat="1" ht="15" customHeight="1">
      <c r="A51" s="47"/>
      <c r="B51" s="58" t="s">
        <v>61</v>
      </c>
      <c r="C51" s="57"/>
      <c r="D51" s="59" t="s">
        <v>218</v>
      </c>
      <c r="E51" s="52">
        <v>7.0000000000000007E-2</v>
      </c>
      <c r="F51" s="34"/>
      <c r="G51" s="34"/>
      <c r="H51" s="34">
        <v>87805</v>
      </c>
      <c r="I51" s="34">
        <v>6146.3</v>
      </c>
      <c r="J51" s="34"/>
      <c r="K51" s="34"/>
      <c r="L51" s="34">
        <v>87805</v>
      </c>
      <c r="M51" s="34">
        <v>6146.3</v>
      </c>
      <c r="N51" s="33"/>
    </row>
    <row r="52" spans="1:16" s="35" customFormat="1" ht="15" customHeight="1">
      <c r="A52" s="47"/>
      <c r="B52" s="58" t="s">
        <v>71</v>
      </c>
      <c r="C52" s="57" t="s">
        <v>97</v>
      </c>
      <c r="D52" s="59" t="s">
        <v>58</v>
      </c>
      <c r="E52" s="52">
        <v>1</v>
      </c>
      <c r="F52" s="34"/>
      <c r="G52" s="34"/>
      <c r="H52" s="34"/>
      <c r="I52" s="34"/>
      <c r="J52" s="34"/>
      <c r="K52" s="34">
        <v>427.1</v>
      </c>
      <c r="L52" s="34"/>
      <c r="M52" s="34">
        <v>427.1</v>
      </c>
      <c r="N52" s="33"/>
    </row>
    <row r="53" spans="1:16" ht="15" customHeight="1">
      <c r="A53" s="48"/>
      <c r="B53" s="49" t="s">
        <v>48</v>
      </c>
      <c r="C53" s="46"/>
      <c r="D53" s="41"/>
      <c r="E53" s="75"/>
      <c r="F53" s="17"/>
      <c r="G53" s="17">
        <v>53550</v>
      </c>
      <c r="H53" s="17"/>
      <c r="I53" s="17">
        <v>14233.7</v>
      </c>
      <c r="J53" s="17"/>
      <c r="K53" s="17">
        <v>427.1</v>
      </c>
      <c r="L53" s="36"/>
      <c r="M53" s="17">
        <v>68210.8</v>
      </c>
      <c r="N53" s="2"/>
      <c r="O53" t="str">
        <f>A44</f>
        <v>일위06호</v>
      </c>
      <c r="P53" s="35"/>
    </row>
    <row r="54" spans="1:16" s="35" customFormat="1" ht="15" customHeight="1">
      <c r="A54" s="47" t="s">
        <v>417</v>
      </c>
      <c r="B54" s="58" t="s">
        <v>418</v>
      </c>
      <c r="C54" s="57" t="s">
        <v>412</v>
      </c>
      <c r="D54" s="59" t="s">
        <v>220</v>
      </c>
      <c r="E54" s="52"/>
      <c r="F54" s="34"/>
      <c r="G54" s="34"/>
      <c r="H54" s="34"/>
      <c r="I54" s="34"/>
      <c r="J54" s="34"/>
      <c r="K54" s="34"/>
      <c r="L54" s="34"/>
      <c r="M54" s="34"/>
      <c r="N54" s="33" t="s">
        <v>414</v>
      </c>
    </row>
    <row r="55" spans="1:16" s="35" customFormat="1" ht="15" customHeight="1">
      <c r="A55" s="47"/>
      <c r="B55" s="58" t="s">
        <v>415</v>
      </c>
      <c r="C55" s="57" t="s">
        <v>416</v>
      </c>
      <c r="D55" s="59" t="s">
        <v>212</v>
      </c>
      <c r="E55" s="52">
        <v>1</v>
      </c>
      <c r="F55" s="34">
        <v>3300</v>
      </c>
      <c r="G55" s="34">
        <v>3300</v>
      </c>
      <c r="H55" s="34"/>
      <c r="I55" s="34"/>
      <c r="J55" s="34"/>
      <c r="K55" s="34"/>
      <c r="L55" s="34">
        <v>3300</v>
      </c>
      <c r="M55" s="34">
        <v>3300</v>
      </c>
      <c r="N55" s="33" t="s">
        <v>56</v>
      </c>
    </row>
    <row r="56" spans="1:16" s="35" customFormat="1" ht="15" customHeight="1">
      <c r="A56" s="47"/>
      <c r="B56" s="58" t="s">
        <v>215</v>
      </c>
      <c r="C56" s="57" t="s">
        <v>56</v>
      </c>
      <c r="D56" s="59" t="s">
        <v>218</v>
      </c>
      <c r="E56" s="52">
        <v>0.18</v>
      </c>
      <c r="F56" s="34"/>
      <c r="G56" s="34"/>
      <c r="H56" s="34">
        <v>122333</v>
      </c>
      <c r="I56" s="34">
        <v>22019.9</v>
      </c>
      <c r="J56" s="34"/>
      <c r="K56" s="34"/>
      <c r="L56" s="34">
        <v>122333</v>
      </c>
      <c r="M56" s="34">
        <v>22019.9</v>
      </c>
      <c r="N56" s="33" t="s">
        <v>56</v>
      </c>
    </row>
    <row r="57" spans="1:16" ht="15" customHeight="1">
      <c r="A57" s="48"/>
      <c r="B57" s="49" t="s">
        <v>48</v>
      </c>
      <c r="C57" s="46"/>
      <c r="D57" s="41"/>
      <c r="E57" s="75"/>
      <c r="F57" s="17"/>
      <c r="G57" s="17">
        <v>3300</v>
      </c>
      <c r="H57" s="17"/>
      <c r="I57" s="17">
        <v>22019</v>
      </c>
      <c r="J57" s="17"/>
      <c r="K57" s="17">
        <v>0</v>
      </c>
      <c r="L57" s="36"/>
      <c r="M57" s="17">
        <v>25319</v>
      </c>
      <c r="N57" s="2"/>
      <c r="O57" t="str">
        <f>A54</f>
        <v>일위07호</v>
      </c>
      <c r="P57" s="35"/>
    </row>
    <row r="58" spans="1:16" s="35" customFormat="1" ht="15" customHeight="1">
      <c r="A58" s="47" t="s">
        <v>422</v>
      </c>
      <c r="B58" s="58" t="s">
        <v>457</v>
      </c>
      <c r="C58" s="57"/>
      <c r="D58" s="59"/>
      <c r="E58" s="52"/>
      <c r="F58" s="34"/>
      <c r="G58" s="34"/>
      <c r="H58" s="34"/>
      <c r="I58" s="34"/>
      <c r="J58" s="34"/>
      <c r="K58" s="34"/>
      <c r="L58" s="34"/>
      <c r="M58" s="34"/>
      <c r="N58" s="33"/>
    </row>
    <row r="59" spans="1:16" s="35" customFormat="1" ht="15" customHeight="1">
      <c r="A59" s="47"/>
      <c r="B59" s="58" t="s">
        <v>420</v>
      </c>
      <c r="C59" s="57" t="s">
        <v>421</v>
      </c>
      <c r="D59" s="59" t="s">
        <v>211</v>
      </c>
      <c r="E59" s="52">
        <v>0.12</v>
      </c>
      <c r="F59" s="34">
        <v>9310</v>
      </c>
      <c r="G59" s="34">
        <v>1117.2</v>
      </c>
      <c r="H59" s="34">
        <v>0</v>
      </c>
      <c r="I59" s="34">
        <v>0</v>
      </c>
      <c r="J59" s="34">
        <v>0</v>
      </c>
      <c r="K59" s="34">
        <v>0</v>
      </c>
      <c r="L59" s="34">
        <v>9310</v>
      </c>
      <c r="M59" s="34">
        <v>1117.2</v>
      </c>
      <c r="N59" s="33" t="s">
        <v>56</v>
      </c>
    </row>
    <row r="60" spans="1:16" s="35" customFormat="1" ht="15" customHeight="1">
      <c r="A60" s="47"/>
      <c r="B60" s="58" t="s">
        <v>55</v>
      </c>
      <c r="C60" s="57" t="s">
        <v>241</v>
      </c>
      <c r="D60" s="59" t="s">
        <v>218</v>
      </c>
      <c r="E60" s="52">
        <v>0.03</v>
      </c>
      <c r="F60" s="34">
        <v>0</v>
      </c>
      <c r="G60" s="34">
        <v>0</v>
      </c>
      <c r="H60" s="34">
        <v>115796</v>
      </c>
      <c r="I60" s="34">
        <v>3473.8</v>
      </c>
      <c r="J60" s="34">
        <v>0</v>
      </c>
      <c r="K60" s="34">
        <v>0</v>
      </c>
      <c r="L60" s="34">
        <v>115796</v>
      </c>
      <c r="M60" s="34">
        <v>3473.8</v>
      </c>
      <c r="N60" s="33" t="s">
        <v>56</v>
      </c>
    </row>
    <row r="61" spans="1:16" s="35" customFormat="1" ht="15" customHeight="1">
      <c r="A61" s="47"/>
      <c r="B61" s="58" t="s">
        <v>458</v>
      </c>
      <c r="C61" s="57" t="s">
        <v>56</v>
      </c>
      <c r="D61" s="59" t="s">
        <v>56</v>
      </c>
      <c r="E61" s="52"/>
      <c r="F61" s="34"/>
      <c r="G61" s="34">
        <v>1117</v>
      </c>
      <c r="H61" s="34"/>
      <c r="I61" s="34">
        <v>3473</v>
      </c>
      <c r="J61" s="34"/>
      <c r="K61" s="34">
        <v>0</v>
      </c>
      <c r="L61" s="34"/>
      <c r="M61" s="34">
        <v>4590</v>
      </c>
      <c r="N61" s="33" t="s">
        <v>56</v>
      </c>
    </row>
    <row r="62" spans="1:16" ht="15" customHeight="1">
      <c r="A62" s="48"/>
      <c r="B62" s="49" t="s">
        <v>151</v>
      </c>
      <c r="C62" s="152" t="s">
        <v>459</v>
      </c>
      <c r="D62" s="41" t="s">
        <v>56</v>
      </c>
      <c r="E62" s="75"/>
      <c r="F62" s="17"/>
      <c r="G62" s="17">
        <f>G61*2</f>
        <v>2234</v>
      </c>
      <c r="H62" s="17"/>
      <c r="I62" s="17">
        <f>I61*2</f>
        <v>6946</v>
      </c>
      <c r="J62" s="17"/>
      <c r="K62" s="17">
        <f>K61*2</f>
        <v>0</v>
      </c>
      <c r="L62" s="36"/>
      <c r="M62" s="17">
        <f>SUM(G62,I62,K62)</f>
        <v>9180</v>
      </c>
      <c r="N62" s="2" t="s">
        <v>56</v>
      </c>
      <c r="O62" t="str">
        <f>A58</f>
        <v>일위08호</v>
      </c>
      <c r="P62" s="35"/>
    </row>
    <row r="63" spans="1:16" s="35" customFormat="1" ht="15" customHeight="1">
      <c r="A63" s="47" t="s">
        <v>447</v>
      </c>
      <c r="B63" s="58" t="s">
        <v>448</v>
      </c>
      <c r="C63" s="57"/>
      <c r="D63" s="59"/>
      <c r="E63" s="52"/>
      <c r="F63" s="34"/>
      <c r="G63" s="34"/>
      <c r="H63" s="34"/>
      <c r="I63" s="34"/>
      <c r="J63" s="34"/>
      <c r="K63" s="34"/>
      <c r="L63" s="34"/>
      <c r="M63" s="34"/>
      <c r="N63" s="33"/>
    </row>
    <row r="64" spans="1:16" s="35" customFormat="1" ht="15" customHeight="1">
      <c r="A64" s="47"/>
      <c r="B64" s="58" t="s">
        <v>420</v>
      </c>
      <c r="C64" s="57" t="s">
        <v>446</v>
      </c>
      <c r="D64" s="59" t="s">
        <v>211</v>
      </c>
      <c r="E64" s="52">
        <v>0.06</v>
      </c>
      <c r="F64" s="34">
        <v>6300</v>
      </c>
      <c r="G64" s="34">
        <v>378</v>
      </c>
      <c r="H64" s="34">
        <v>0</v>
      </c>
      <c r="I64" s="34">
        <v>0</v>
      </c>
      <c r="J64" s="34">
        <v>0</v>
      </c>
      <c r="K64" s="34">
        <v>0</v>
      </c>
      <c r="L64" s="34">
        <v>6300</v>
      </c>
      <c r="M64" s="34">
        <v>378</v>
      </c>
      <c r="N64" s="33" t="s">
        <v>56</v>
      </c>
    </row>
    <row r="65" spans="1:16" s="35" customFormat="1" ht="15" customHeight="1">
      <c r="A65" s="47"/>
      <c r="B65" s="58" t="s">
        <v>458</v>
      </c>
      <c r="C65" s="57" t="s">
        <v>56</v>
      </c>
      <c r="D65" s="59" t="s">
        <v>56</v>
      </c>
      <c r="E65" s="52"/>
      <c r="F65" s="34"/>
      <c r="G65" s="34">
        <v>378</v>
      </c>
      <c r="H65" s="34"/>
      <c r="I65" s="34">
        <v>0</v>
      </c>
      <c r="J65" s="34"/>
      <c r="K65" s="34">
        <v>0</v>
      </c>
      <c r="L65" s="34"/>
      <c r="M65" s="34">
        <v>378</v>
      </c>
      <c r="N65" s="33" t="s">
        <v>56</v>
      </c>
    </row>
    <row r="66" spans="1:16" ht="15" customHeight="1">
      <c r="A66" s="48"/>
      <c r="B66" s="151" t="s">
        <v>461</v>
      </c>
      <c r="C66" s="152" t="s">
        <v>462</v>
      </c>
      <c r="D66" s="41" t="s">
        <v>56</v>
      </c>
      <c r="E66" s="75"/>
      <c r="F66" s="17"/>
      <c r="G66" s="17">
        <f>G65*2</f>
        <v>756</v>
      </c>
      <c r="H66" s="17"/>
      <c r="I66" s="17">
        <f>I65*2</f>
        <v>0</v>
      </c>
      <c r="J66" s="17"/>
      <c r="K66" s="17">
        <f>K65*2</f>
        <v>0</v>
      </c>
      <c r="L66" s="36"/>
      <c r="M66" s="17">
        <f>SUM(G66,I66,K66)</f>
        <v>756</v>
      </c>
      <c r="N66" s="2" t="s">
        <v>56</v>
      </c>
      <c r="O66" t="str">
        <f>A63</f>
        <v>일위09호</v>
      </c>
      <c r="P66" s="35"/>
    </row>
    <row r="67" spans="1:16" s="35" customFormat="1" ht="15" customHeight="1">
      <c r="A67" s="47" t="s">
        <v>480</v>
      </c>
      <c r="B67" s="58" t="s">
        <v>470</v>
      </c>
      <c r="C67" s="57"/>
      <c r="D67" s="59"/>
      <c r="E67" s="52"/>
      <c r="F67" s="34"/>
      <c r="G67" s="34"/>
      <c r="H67" s="34"/>
      <c r="I67" s="34"/>
      <c r="J67" s="34"/>
      <c r="K67" s="34"/>
      <c r="L67" s="34"/>
      <c r="M67" s="34"/>
      <c r="N67" s="33"/>
    </row>
    <row r="68" spans="1:16" s="35" customFormat="1" ht="15" customHeight="1">
      <c r="A68" s="47"/>
      <c r="B68" s="58" t="s">
        <v>471</v>
      </c>
      <c r="C68" s="57" t="s">
        <v>472</v>
      </c>
      <c r="D68" s="59" t="s">
        <v>227</v>
      </c>
      <c r="E68" s="52">
        <v>18.48</v>
      </c>
      <c r="F68" s="34">
        <v>2380</v>
      </c>
      <c r="G68" s="34">
        <v>43982.400000000001</v>
      </c>
      <c r="H68" s="34">
        <v>0</v>
      </c>
      <c r="I68" s="34">
        <v>0</v>
      </c>
      <c r="J68" s="34">
        <v>0</v>
      </c>
      <c r="K68" s="34">
        <v>0</v>
      </c>
      <c r="L68" s="34">
        <v>2380</v>
      </c>
      <c r="M68" s="34">
        <v>43982.400000000001</v>
      </c>
      <c r="N68" s="33" t="s">
        <v>56</v>
      </c>
    </row>
    <row r="69" spans="1:16" s="35" customFormat="1" ht="15" customHeight="1">
      <c r="A69" s="47"/>
      <c r="B69" s="58" t="s">
        <v>91</v>
      </c>
      <c r="C69" s="57" t="s">
        <v>473</v>
      </c>
      <c r="D69" s="59" t="s">
        <v>211</v>
      </c>
      <c r="E69" s="52">
        <v>6300</v>
      </c>
      <c r="F69" s="34">
        <v>1.83</v>
      </c>
      <c r="G69" s="34">
        <v>11529</v>
      </c>
      <c r="H69" s="34">
        <v>0</v>
      </c>
      <c r="I69" s="34">
        <v>0</v>
      </c>
      <c r="J69" s="34">
        <v>0</v>
      </c>
      <c r="K69" s="34">
        <v>0</v>
      </c>
      <c r="L69" s="34">
        <v>1.8</v>
      </c>
      <c r="M69" s="34">
        <v>11529</v>
      </c>
      <c r="N69" s="33" t="s">
        <v>56</v>
      </c>
    </row>
    <row r="70" spans="1:16" s="35" customFormat="1" ht="15" customHeight="1">
      <c r="A70" s="47"/>
      <c r="B70" s="58" t="s">
        <v>474</v>
      </c>
      <c r="C70" s="57" t="s">
        <v>475</v>
      </c>
      <c r="D70" s="59" t="s">
        <v>227</v>
      </c>
      <c r="E70" s="52">
        <v>2.8</v>
      </c>
      <c r="F70" s="34">
        <v>9500</v>
      </c>
      <c r="G70" s="34">
        <v>26600</v>
      </c>
      <c r="H70" s="34">
        <v>0</v>
      </c>
      <c r="I70" s="34">
        <v>0</v>
      </c>
      <c r="J70" s="34">
        <v>0</v>
      </c>
      <c r="K70" s="34">
        <v>0</v>
      </c>
      <c r="L70" s="34">
        <v>9500</v>
      </c>
      <c r="M70" s="34">
        <v>26600</v>
      </c>
      <c r="N70" s="33" t="s">
        <v>56</v>
      </c>
    </row>
    <row r="71" spans="1:16" s="35" customFormat="1" ht="15" customHeight="1">
      <c r="A71" s="47"/>
      <c r="B71" s="58" t="s">
        <v>476</v>
      </c>
      <c r="C71" s="57" t="s">
        <v>477</v>
      </c>
      <c r="D71" s="59" t="s">
        <v>197</v>
      </c>
      <c r="E71" s="52">
        <v>20.83</v>
      </c>
      <c r="F71" s="34">
        <v>0</v>
      </c>
      <c r="G71" s="34">
        <v>0</v>
      </c>
      <c r="H71" s="34">
        <v>0</v>
      </c>
      <c r="I71" s="34">
        <v>0</v>
      </c>
      <c r="J71" s="34">
        <v>124</v>
      </c>
      <c r="K71" s="34">
        <v>2582.9</v>
      </c>
      <c r="L71" s="34">
        <v>124</v>
      </c>
      <c r="M71" s="34">
        <v>2582.9</v>
      </c>
      <c r="N71" s="33" t="s">
        <v>56</v>
      </c>
    </row>
    <row r="72" spans="1:16" s="35" customFormat="1" ht="15" customHeight="1">
      <c r="A72" s="47"/>
      <c r="B72" s="58" t="s">
        <v>478</v>
      </c>
      <c r="C72" s="57" t="s">
        <v>214</v>
      </c>
      <c r="D72" s="59" t="s">
        <v>479</v>
      </c>
      <c r="E72" s="52">
        <v>126</v>
      </c>
      <c r="F72" s="34">
        <v>0</v>
      </c>
      <c r="G72" s="34">
        <v>0</v>
      </c>
      <c r="H72" s="34">
        <v>0</v>
      </c>
      <c r="I72" s="34">
        <v>0</v>
      </c>
      <c r="J72" s="34">
        <v>87</v>
      </c>
      <c r="K72" s="34">
        <v>10962</v>
      </c>
      <c r="L72" s="34">
        <v>87</v>
      </c>
      <c r="M72" s="34">
        <v>10962</v>
      </c>
      <c r="N72" s="33" t="s">
        <v>56</v>
      </c>
    </row>
    <row r="73" spans="1:16" s="35" customFormat="1" ht="15" customHeight="1">
      <c r="A73" s="47"/>
      <c r="B73" s="58" t="s">
        <v>55</v>
      </c>
      <c r="C73" s="57" t="s">
        <v>201</v>
      </c>
      <c r="D73" s="59" t="s">
        <v>218</v>
      </c>
      <c r="E73" s="52">
        <v>27.65</v>
      </c>
      <c r="F73" s="34">
        <v>0</v>
      </c>
      <c r="G73" s="34">
        <v>0</v>
      </c>
      <c r="H73" s="34">
        <v>138946</v>
      </c>
      <c r="I73" s="34">
        <v>3841856.9</v>
      </c>
      <c r="J73" s="34">
        <v>0</v>
      </c>
      <c r="K73" s="34">
        <v>0</v>
      </c>
      <c r="L73" s="34">
        <v>138946</v>
      </c>
      <c r="M73" s="34">
        <v>3841856.9</v>
      </c>
      <c r="N73" s="33" t="s">
        <v>56</v>
      </c>
    </row>
    <row r="74" spans="1:16" s="35" customFormat="1" ht="15" customHeight="1">
      <c r="A74" s="47"/>
      <c r="B74" s="58" t="s">
        <v>55</v>
      </c>
      <c r="C74" s="57" t="s">
        <v>61</v>
      </c>
      <c r="D74" s="59" t="s">
        <v>218</v>
      </c>
      <c r="E74" s="52">
        <v>0.66</v>
      </c>
      <c r="F74" s="34">
        <v>0</v>
      </c>
      <c r="G74" s="34">
        <v>0</v>
      </c>
      <c r="H74" s="34">
        <v>87805</v>
      </c>
      <c r="I74" s="34">
        <v>57951.3</v>
      </c>
      <c r="J74" s="34">
        <v>0</v>
      </c>
      <c r="K74" s="34">
        <v>0</v>
      </c>
      <c r="L74" s="34">
        <v>87805</v>
      </c>
      <c r="M74" s="34">
        <v>57951.3</v>
      </c>
      <c r="N74" s="33" t="s">
        <v>56</v>
      </c>
    </row>
    <row r="75" spans="1:16" s="35" customFormat="1" ht="15" customHeight="1">
      <c r="A75" s="47"/>
      <c r="B75" s="58" t="s">
        <v>55</v>
      </c>
      <c r="C75" s="57" t="s">
        <v>198</v>
      </c>
      <c r="D75" s="59" t="s">
        <v>218</v>
      </c>
      <c r="E75" s="52">
        <v>2.6</v>
      </c>
      <c r="F75" s="34">
        <v>0</v>
      </c>
      <c r="G75" s="34">
        <v>0</v>
      </c>
      <c r="H75" s="34">
        <v>134516</v>
      </c>
      <c r="I75" s="34">
        <v>349741.6</v>
      </c>
      <c r="J75" s="34">
        <v>0</v>
      </c>
      <c r="K75" s="34">
        <v>0</v>
      </c>
      <c r="L75" s="34">
        <v>134516</v>
      </c>
      <c r="M75" s="34">
        <v>349741.6</v>
      </c>
      <c r="N75" s="33" t="s">
        <v>56</v>
      </c>
    </row>
    <row r="76" spans="1:16" s="35" customFormat="1" ht="15" customHeight="1">
      <c r="A76" s="47"/>
      <c r="B76" s="58" t="s">
        <v>55</v>
      </c>
      <c r="C76" s="57" t="s">
        <v>62</v>
      </c>
      <c r="D76" s="59" t="s">
        <v>218</v>
      </c>
      <c r="E76" s="52">
        <v>0.74</v>
      </c>
      <c r="F76" s="34">
        <v>0</v>
      </c>
      <c r="G76" s="34">
        <v>0</v>
      </c>
      <c r="H76" s="34">
        <v>108245</v>
      </c>
      <c r="I76" s="34">
        <v>80101.3</v>
      </c>
      <c r="J76" s="34">
        <v>0</v>
      </c>
      <c r="K76" s="34">
        <v>0</v>
      </c>
      <c r="L76" s="34">
        <v>108245</v>
      </c>
      <c r="M76" s="34">
        <v>80101.3</v>
      </c>
      <c r="N76" s="33" t="s">
        <v>56</v>
      </c>
    </row>
    <row r="77" spans="1:16" s="35" customFormat="1" ht="15" customHeight="1">
      <c r="A77" s="47"/>
      <c r="B77" s="58" t="s">
        <v>71</v>
      </c>
      <c r="C77" s="57" t="s">
        <v>302</v>
      </c>
      <c r="D77" s="59" t="s">
        <v>58</v>
      </c>
      <c r="E77" s="52">
        <v>1</v>
      </c>
      <c r="F77" s="34">
        <v>129889.53</v>
      </c>
      <c r="G77" s="34">
        <v>129889.5</v>
      </c>
      <c r="H77" s="34">
        <v>0</v>
      </c>
      <c r="I77" s="34">
        <v>0</v>
      </c>
      <c r="J77" s="34">
        <v>0</v>
      </c>
      <c r="K77" s="34">
        <v>0</v>
      </c>
      <c r="L77" s="34">
        <v>129889.5</v>
      </c>
      <c r="M77" s="34">
        <v>129889.5</v>
      </c>
      <c r="N77" s="33" t="s">
        <v>56</v>
      </c>
    </row>
    <row r="78" spans="1:16" ht="15" customHeight="1">
      <c r="A78" s="48"/>
      <c r="B78" s="151" t="s">
        <v>460</v>
      </c>
      <c r="C78" s="152" t="s">
        <v>56</v>
      </c>
      <c r="D78" s="41" t="s">
        <v>56</v>
      </c>
      <c r="E78" s="75"/>
      <c r="F78" s="17"/>
      <c r="G78" s="17">
        <v>212000</v>
      </c>
      <c r="H78" s="17"/>
      <c r="I78" s="17">
        <v>4329651</v>
      </c>
      <c r="J78" s="17"/>
      <c r="K78" s="17">
        <v>13544</v>
      </c>
      <c r="L78" s="36"/>
      <c r="M78" s="17">
        <v>4555195</v>
      </c>
      <c r="N78" s="2" t="s">
        <v>56</v>
      </c>
      <c r="O78" t="str">
        <f>A67</f>
        <v>일위10호</v>
      </c>
      <c r="P78" s="35"/>
    </row>
    <row r="79" spans="1:16" s="35" customFormat="1" ht="15" customHeight="1">
      <c r="A79" s="47" t="s">
        <v>498</v>
      </c>
      <c r="B79" s="58" t="s">
        <v>499</v>
      </c>
      <c r="C79" s="57" t="s">
        <v>485</v>
      </c>
      <c r="D79" s="59" t="s">
        <v>228</v>
      </c>
      <c r="E79" s="52"/>
      <c r="F79" s="34"/>
      <c r="G79" s="34"/>
      <c r="H79" s="34"/>
      <c r="I79" s="34"/>
      <c r="J79" s="34"/>
      <c r="K79" s="34"/>
      <c r="L79" s="34"/>
      <c r="M79" s="34"/>
      <c r="N79" s="33"/>
    </row>
    <row r="80" spans="1:16" s="35" customFormat="1" ht="15" customHeight="1">
      <c r="A80" s="47"/>
      <c r="B80" s="58" t="s">
        <v>486</v>
      </c>
      <c r="C80" s="57" t="s">
        <v>487</v>
      </c>
      <c r="D80" s="59" t="s">
        <v>200</v>
      </c>
      <c r="E80" s="52">
        <v>0.15</v>
      </c>
      <c r="F80" s="34">
        <v>8000</v>
      </c>
      <c r="G80" s="34">
        <v>1200</v>
      </c>
      <c r="H80" s="34"/>
      <c r="I80" s="34"/>
      <c r="J80" s="34"/>
      <c r="K80" s="34"/>
      <c r="L80" s="34">
        <v>8000</v>
      </c>
      <c r="M80" s="34">
        <v>1200</v>
      </c>
      <c r="N80" s="33"/>
    </row>
    <row r="81" spans="1:16" s="35" customFormat="1" ht="15" customHeight="1">
      <c r="A81" s="47"/>
      <c r="B81" s="58" t="s">
        <v>488</v>
      </c>
      <c r="C81" s="57" t="s">
        <v>489</v>
      </c>
      <c r="D81" s="59" t="s">
        <v>200</v>
      </c>
      <c r="E81" s="52">
        <v>0.2</v>
      </c>
      <c r="F81" s="34">
        <v>33000</v>
      </c>
      <c r="G81" s="34">
        <v>6600</v>
      </c>
      <c r="H81" s="34"/>
      <c r="I81" s="34"/>
      <c r="J81" s="34"/>
      <c r="K81" s="34"/>
      <c r="L81" s="34">
        <v>33000</v>
      </c>
      <c r="M81" s="34">
        <v>6600</v>
      </c>
      <c r="N81" s="33"/>
    </row>
    <row r="82" spans="1:16" s="35" customFormat="1" ht="15" customHeight="1">
      <c r="A82" s="47"/>
      <c r="B82" s="58" t="s">
        <v>490</v>
      </c>
      <c r="C82" s="57" t="s">
        <v>491</v>
      </c>
      <c r="D82" s="59" t="s">
        <v>200</v>
      </c>
      <c r="E82" s="52">
        <v>0.5</v>
      </c>
      <c r="F82" s="34">
        <v>18000</v>
      </c>
      <c r="G82" s="34">
        <v>9000</v>
      </c>
      <c r="H82" s="34"/>
      <c r="I82" s="34"/>
      <c r="J82" s="34"/>
      <c r="K82" s="34"/>
      <c r="L82" s="34">
        <v>18000</v>
      </c>
      <c r="M82" s="34">
        <v>9000</v>
      </c>
      <c r="N82" s="33"/>
    </row>
    <row r="83" spans="1:16" s="35" customFormat="1" ht="15" customHeight="1">
      <c r="A83" s="47"/>
      <c r="B83" s="58" t="s">
        <v>492</v>
      </c>
      <c r="C83" s="57" t="s">
        <v>493</v>
      </c>
      <c r="D83" s="59" t="s">
        <v>200</v>
      </c>
      <c r="E83" s="52">
        <v>0.25</v>
      </c>
      <c r="F83" s="34">
        <v>21000</v>
      </c>
      <c r="G83" s="34">
        <v>5250</v>
      </c>
      <c r="H83" s="34"/>
      <c r="I83" s="34"/>
      <c r="J83" s="34"/>
      <c r="K83" s="34"/>
      <c r="L83" s="34">
        <v>21000</v>
      </c>
      <c r="M83" s="34">
        <v>5250</v>
      </c>
      <c r="N83" s="33"/>
    </row>
    <row r="84" spans="1:16" s="35" customFormat="1" ht="15" customHeight="1">
      <c r="A84" s="47"/>
      <c r="B84" s="58" t="s">
        <v>494</v>
      </c>
      <c r="C84" s="57" t="s">
        <v>495</v>
      </c>
      <c r="D84" s="59" t="s">
        <v>220</v>
      </c>
      <c r="E84" s="52">
        <v>5</v>
      </c>
      <c r="F84" s="34">
        <v>600</v>
      </c>
      <c r="G84" s="34">
        <v>3000</v>
      </c>
      <c r="H84" s="34"/>
      <c r="I84" s="34"/>
      <c r="J84" s="34"/>
      <c r="K84" s="34"/>
      <c r="L84" s="34">
        <v>600</v>
      </c>
      <c r="M84" s="34">
        <v>3000</v>
      </c>
      <c r="N84" s="33"/>
    </row>
    <row r="85" spans="1:16" s="35" customFormat="1" ht="15" customHeight="1">
      <c r="A85" s="47"/>
      <c r="B85" s="58" t="s">
        <v>89</v>
      </c>
      <c r="C85" s="57" t="s">
        <v>496</v>
      </c>
      <c r="D85" s="59" t="s">
        <v>58</v>
      </c>
      <c r="E85" s="52">
        <v>1</v>
      </c>
      <c r="F85" s="34">
        <v>752</v>
      </c>
      <c r="G85" s="34">
        <v>752</v>
      </c>
      <c r="H85" s="34"/>
      <c r="I85" s="34"/>
      <c r="J85" s="34"/>
      <c r="K85" s="34"/>
      <c r="L85" s="34">
        <v>752</v>
      </c>
      <c r="M85" s="34">
        <v>752</v>
      </c>
      <c r="N85" s="33"/>
    </row>
    <row r="86" spans="1:16" s="35" customFormat="1" ht="15" customHeight="1">
      <c r="A86" s="47"/>
      <c r="B86" s="58" t="s">
        <v>71</v>
      </c>
      <c r="C86" s="57" t="s">
        <v>497</v>
      </c>
      <c r="D86" s="59" t="s">
        <v>58</v>
      </c>
      <c r="E86" s="52">
        <v>1</v>
      </c>
      <c r="F86" s="34">
        <v>122</v>
      </c>
      <c r="G86" s="34">
        <v>122</v>
      </c>
      <c r="H86" s="34"/>
      <c r="I86" s="34"/>
      <c r="J86" s="34"/>
      <c r="K86" s="34"/>
      <c r="L86" s="34">
        <v>122</v>
      </c>
      <c r="M86" s="34">
        <v>122</v>
      </c>
      <c r="N86" s="33"/>
    </row>
    <row r="87" spans="1:16" s="35" customFormat="1" ht="15" customHeight="1">
      <c r="A87" s="47"/>
      <c r="B87" s="58" t="s">
        <v>196</v>
      </c>
      <c r="C87" s="57"/>
      <c r="D87" s="59" t="s">
        <v>218</v>
      </c>
      <c r="E87" s="52">
        <v>0.03</v>
      </c>
      <c r="F87" s="34"/>
      <c r="G87" s="34"/>
      <c r="H87" s="34">
        <v>101093</v>
      </c>
      <c r="I87" s="34">
        <v>3032.79</v>
      </c>
      <c r="J87" s="34"/>
      <c r="K87" s="34"/>
      <c r="L87" s="34">
        <v>101093</v>
      </c>
      <c r="M87" s="34">
        <v>3032.79</v>
      </c>
      <c r="N87" s="33"/>
    </row>
    <row r="88" spans="1:16" s="35" customFormat="1" ht="15" customHeight="1">
      <c r="A88" s="47"/>
      <c r="B88" s="58" t="s">
        <v>62</v>
      </c>
      <c r="C88" s="57"/>
      <c r="D88" s="59" t="s">
        <v>218</v>
      </c>
      <c r="E88" s="52">
        <v>0.02</v>
      </c>
      <c r="F88" s="34"/>
      <c r="G88" s="34"/>
      <c r="H88" s="34">
        <v>108245</v>
      </c>
      <c r="I88" s="34">
        <v>2164.9</v>
      </c>
      <c r="J88" s="34"/>
      <c r="K88" s="34"/>
      <c r="L88" s="34">
        <v>108245</v>
      </c>
      <c r="M88" s="34">
        <v>2164.9</v>
      </c>
      <c r="N88" s="33"/>
    </row>
    <row r="89" spans="1:16" s="35" customFormat="1" ht="15" customHeight="1">
      <c r="A89" s="47"/>
      <c r="B89" s="58" t="s">
        <v>61</v>
      </c>
      <c r="C89" s="57"/>
      <c r="D89" s="59" t="s">
        <v>218</v>
      </c>
      <c r="E89" s="52">
        <v>0.01</v>
      </c>
      <c r="F89" s="34"/>
      <c r="G89" s="34"/>
      <c r="H89" s="34">
        <v>87805</v>
      </c>
      <c r="I89" s="34">
        <v>878.05000000000007</v>
      </c>
      <c r="J89" s="34"/>
      <c r="K89" s="34"/>
      <c r="L89" s="34">
        <v>87805</v>
      </c>
      <c r="M89" s="34">
        <v>878.05000000000007</v>
      </c>
      <c r="N89" s="33"/>
    </row>
    <row r="90" spans="1:16" ht="15" customHeight="1">
      <c r="A90" s="48"/>
      <c r="B90" s="151" t="s">
        <v>460</v>
      </c>
      <c r="C90" s="152"/>
      <c r="D90" s="41"/>
      <c r="E90" s="75"/>
      <c r="F90" s="17"/>
      <c r="G90" s="17">
        <v>25924</v>
      </c>
      <c r="H90" s="17"/>
      <c r="I90" s="17">
        <v>6075.7400000000007</v>
      </c>
      <c r="J90" s="17"/>
      <c r="K90" s="17">
        <v>0</v>
      </c>
      <c r="L90" s="36"/>
      <c r="M90" s="17">
        <v>31999.74</v>
      </c>
      <c r="N90" s="2"/>
      <c r="O90" t="str">
        <f>A79</f>
        <v>일위11호</v>
      </c>
      <c r="P90" s="35"/>
    </row>
    <row r="91" spans="1:16" s="35" customFormat="1" ht="15" customHeight="1">
      <c r="A91" s="47"/>
      <c r="B91" s="58"/>
      <c r="C91" s="57"/>
      <c r="D91" s="59"/>
      <c r="E91" s="52"/>
      <c r="F91" s="34"/>
      <c r="G91" s="34"/>
      <c r="H91" s="34"/>
      <c r="I91" s="34"/>
      <c r="J91" s="34"/>
      <c r="K91" s="34"/>
      <c r="L91" s="34"/>
      <c r="M91" s="34"/>
      <c r="N91" s="33"/>
    </row>
    <row r="92" spans="1:16" s="35" customFormat="1" ht="15" customHeight="1">
      <c r="A92" s="47"/>
      <c r="B92" s="58"/>
      <c r="C92" s="57"/>
      <c r="D92" s="59"/>
      <c r="E92" s="52"/>
      <c r="F92" s="34"/>
      <c r="G92" s="34"/>
      <c r="H92" s="34"/>
      <c r="I92" s="34"/>
      <c r="J92" s="34"/>
      <c r="K92" s="34"/>
      <c r="L92" s="34"/>
      <c r="M92" s="34"/>
      <c r="N92" s="33"/>
    </row>
    <row r="93" spans="1:16" s="35" customFormat="1" ht="15" customHeight="1">
      <c r="A93" s="47"/>
      <c r="B93" s="58"/>
      <c r="C93" s="57"/>
      <c r="D93" s="59"/>
      <c r="E93" s="52"/>
      <c r="F93" s="34"/>
      <c r="G93" s="34"/>
      <c r="H93" s="34"/>
      <c r="I93" s="34"/>
      <c r="J93" s="34"/>
      <c r="K93" s="34"/>
      <c r="L93" s="34"/>
      <c r="M93" s="34"/>
      <c r="N93" s="33"/>
    </row>
    <row r="94" spans="1:16" s="35" customFormat="1" ht="15" customHeight="1">
      <c r="A94" s="47"/>
      <c r="B94" s="58"/>
      <c r="C94" s="57"/>
      <c r="D94" s="59"/>
      <c r="E94" s="52"/>
      <c r="F94" s="34"/>
      <c r="G94" s="34"/>
      <c r="H94" s="34"/>
      <c r="I94" s="34"/>
      <c r="J94" s="34"/>
      <c r="K94" s="34"/>
      <c r="L94" s="34"/>
      <c r="M94" s="34"/>
      <c r="N94" s="33"/>
    </row>
    <row r="95" spans="1:16" s="35" customFormat="1" ht="15" customHeight="1">
      <c r="A95" s="47"/>
      <c r="B95" s="58"/>
      <c r="C95" s="57"/>
      <c r="D95" s="59"/>
      <c r="E95" s="52"/>
      <c r="F95" s="34"/>
      <c r="G95" s="34"/>
      <c r="H95" s="34"/>
      <c r="I95" s="34"/>
      <c r="J95" s="34"/>
      <c r="K95" s="34"/>
      <c r="L95" s="34"/>
      <c r="M95" s="34"/>
      <c r="N95" s="33"/>
    </row>
    <row r="96" spans="1:16" s="35" customFormat="1" ht="15" customHeight="1">
      <c r="A96" s="47"/>
      <c r="B96" s="58"/>
      <c r="C96" s="57"/>
      <c r="D96" s="59"/>
      <c r="E96" s="52"/>
      <c r="F96" s="34"/>
      <c r="G96" s="34"/>
      <c r="H96" s="34"/>
      <c r="I96" s="34"/>
      <c r="J96" s="34"/>
      <c r="K96" s="34"/>
      <c r="L96" s="34"/>
      <c r="M96" s="34"/>
      <c r="N96" s="33"/>
    </row>
    <row r="97" spans="1:14" s="35" customFormat="1" ht="15" customHeight="1">
      <c r="A97" s="47"/>
      <c r="B97" s="58"/>
      <c r="C97" s="57"/>
      <c r="D97" s="59"/>
      <c r="E97" s="52"/>
      <c r="F97" s="34"/>
      <c r="G97" s="34"/>
      <c r="H97" s="34"/>
      <c r="I97" s="34"/>
      <c r="J97" s="34"/>
      <c r="K97" s="34"/>
      <c r="L97" s="34"/>
      <c r="M97" s="34"/>
      <c r="N97" s="33"/>
    </row>
    <row r="98" spans="1:14" s="35" customFormat="1" ht="15" customHeight="1">
      <c r="A98" s="47"/>
      <c r="B98" s="58"/>
      <c r="C98" s="57"/>
      <c r="D98" s="59"/>
      <c r="E98" s="52"/>
      <c r="F98" s="34"/>
      <c r="G98" s="34"/>
      <c r="H98" s="34"/>
      <c r="I98" s="34"/>
      <c r="J98" s="34"/>
      <c r="K98" s="34"/>
      <c r="L98" s="34"/>
      <c r="M98" s="34"/>
      <c r="N98" s="33"/>
    </row>
    <row r="99" spans="1:14" s="35" customFormat="1" ht="15" customHeight="1">
      <c r="A99" s="47"/>
      <c r="B99" s="58"/>
      <c r="C99" s="57"/>
      <c r="D99" s="59"/>
      <c r="E99" s="52"/>
      <c r="F99" s="34"/>
      <c r="G99" s="34"/>
      <c r="H99" s="34"/>
      <c r="I99" s="34"/>
      <c r="J99" s="34"/>
      <c r="K99" s="34"/>
      <c r="L99" s="34"/>
      <c r="M99" s="34"/>
      <c r="N99" s="33"/>
    </row>
    <row r="100" spans="1:14" s="35" customFormat="1" ht="15" customHeight="1">
      <c r="A100" s="47"/>
      <c r="B100" s="58"/>
      <c r="C100" s="57"/>
      <c r="D100" s="59"/>
      <c r="E100" s="52"/>
      <c r="F100" s="34"/>
      <c r="G100" s="34"/>
      <c r="H100" s="34"/>
      <c r="I100" s="34"/>
      <c r="J100" s="34"/>
      <c r="K100" s="34"/>
      <c r="L100" s="34"/>
      <c r="M100" s="34"/>
      <c r="N100" s="33"/>
    </row>
    <row r="101" spans="1:14" s="35" customFormat="1" ht="15" customHeight="1">
      <c r="A101" s="47"/>
      <c r="B101" s="58"/>
      <c r="C101" s="57"/>
      <c r="D101" s="59"/>
      <c r="E101" s="52"/>
      <c r="F101" s="34"/>
      <c r="G101" s="34"/>
      <c r="H101" s="34"/>
      <c r="I101" s="34"/>
      <c r="J101" s="34"/>
      <c r="K101" s="34"/>
      <c r="L101" s="34"/>
      <c r="M101" s="34"/>
      <c r="N101" s="33"/>
    </row>
    <row r="102" spans="1:14" s="35" customFormat="1" ht="15" customHeight="1">
      <c r="A102" s="47"/>
      <c r="B102" s="58"/>
      <c r="C102" s="57"/>
      <c r="D102" s="59"/>
      <c r="E102" s="52"/>
      <c r="F102" s="34"/>
      <c r="G102" s="34"/>
      <c r="H102" s="34"/>
      <c r="I102" s="34"/>
      <c r="J102" s="34"/>
      <c r="K102" s="34"/>
      <c r="L102" s="34"/>
      <c r="M102" s="34"/>
      <c r="N102" s="33"/>
    </row>
    <row r="103" spans="1:14" s="35" customFormat="1" ht="15" customHeight="1">
      <c r="A103" s="47"/>
      <c r="B103" s="58"/>
      <c r="C103" s="57"/>
      <c r="D103" s="59"/>
      <c r="E103" s="52"/>
      <c r="F103" s="34"/>
      <c r="G103" s="34"/>
      <c r="H103" s="34"/>
      <c r="I103" s="34"/>
      <c r="J103" s="34"/>
      <c r="K103" s="34"/>
      <c r="L103" s="34"/>
      <c r="M103" s="34"/>
      <c r="N103" s="33"/>
    </row>
    <row r="104" spans="1:14" s="35" customFormat="1" ht="15" customHeight="1">
      <c r="A104" s="47"/>
      <c r="B104" s="58"/>
      <c r="C104" s="57"/>
      <c r="D104" s="59"/>
      <c r="E104" s="52"/>
      <c r="F104" s="34"/>
      <c r="G104" s="34"/>
      <c r="H104" s="34"/>
      <c r="I104" s="34"/>
      <c r="J104" s="34"/>
      <c r="K104" s="34"/>
      <c r="L104" s="34"/>
      <c r="M104" s="34"/>
      <c r="N104" s="33"/>
    </row>
    <row r="105" spans="1:14" s="35" customFormat="1" ht="15" customHeight="1">
      <c r="A105" s="47"/>
      <c r="B105" s="58"/>
      <c r="C105" s="57"/>
      <c r="D105" s="59"/>
      <c r="E105" s="52"/>
      <c r="F105" s="34"/>
      <c r="G105" s="34"/>
      <c r="H105" s="34"/>
      <c r="I105" s="34"/>
      <c r="J105" s="34"/>
      <c r="K105" s="34"/>
      <c r="L105" s="34"/>
      <c r="M105" s="34"/>
      <c r="N105" s="33"/>
    </row>
    <row r="106" spans="1:14" s="35" customFormat="1" ht="15" customHeight="1">
      <c r="A106" s="47"/>
      <c r="B106" s="58"/>
      <c r="C106" s="57"/>
      <c r="D106" s="59"/>
      <c r="E106" s="52"/>
      <c r="F106" s="34"/>
      <c r="G106" s="34"/>
      <c r="H106" s="34"/>
      <c r="I106" s="34"/>
      <c r="J106" s="34"/>
      <c r="K106" s="34"/>
      <c r="L106" s="34"/>
      <c r="M106" s="34"/>
      <c r="N106" s="33"/>
    </row>
    <row r="107" spans="1:14" s="35" customFormat="1" ht="15" customHeight="1">
      <c r="A107" s="47"/>
      <c r="B107" s="58"/>
      <c r="C107" s="57"/>
      <c r="D107" s="59"/>
      <c r="E107" s="52"/>
      <c r="F107" s="34"/>
      <c r="G107" s="34"/>
      <c r="H107" s="34"/>
      <c r="I107" s="34"/>
      <c r="J107" s="34"/>
      <c r="K107" s="34"/>
      <c r="L107" s="34"/>
      <c r="M107" s="34"/>
      <c r="N107" s="33"/>
    </row>
    <row r="108" spans="1:14" s="35" customFormat="1" ht="15" customHeight="1">
      <c r="A108" s="47"/>
      <c r="B108" s="58"/>
      <c r="C108" s="57"/>
      <c r="D108" s="59"/>
      <c r="E108" s="52"/>
      <c r="F108" s="34"/>
      <c r="G108" s="34"/>
      <c r="H108" s="34"/>
      <c r="I108" s="34"/>
      <c r="J108" s="34"/>
      <c r="K108" s="34"/>
      <c r="L108" s="34"/>
      <c r="M108" s="34"/>
      <c r="N108" s="33"/>
    </row>
    <row r="109" spans="1:14" s="35" customFormat="1" ht="15" customHeight="1">
      <c r="A109" s="47"/>
      <c r="B109" s="58"/>
      <c r="C109" s="57"/>
      <c r="D109" s="59"/>
      <c r="E109" s="52"/>
      <c r="F109" s="34"/>
      <c r="G109" s="34"/>
      <c r="H109" s="34"/>
      <c r="I109" s="34"/>
      <c r="J109" s="34"/>
      <c r="K109" s="34"/>
      <c r="L109" s="34"/>
      <c r="M109" s="34"/>
      <c r="N109" s="33"/>
    </row>
    <row r="110" spans="1:14" s="35" customFormat="1" ht="15" customHeight="1">
      <c r="A110" s="47"/>
      <c r="B110" s="58"/>
      <c r="C110" s="57"/>
      <c r="D110" s="59"/>
      <c r="E110" s="52"/>
      <c r="F110" s="34"/>
      <c r="G110" s="34"/>
      <c r="H110" s="34"/>
      <c r="I110" s="34"/>
      <c r="J110" s="34"/>
      <c r="K110" s="34"/>
      <c r="L110" s="34"/>
      <c r="M110" s="34"/>
      <c r="N110" s="33"/>
    </row>
    <row r="111" spans="1:14" s="35" customFormat="1" ht="15" customHeight="1">
      <c r="A111" s="47"/>
      <c r="B111" s="37" t="s">
        <v>55</v>
      </c>
      <c r="C111" s="37" t="s">
        <v>61</v>
      </c>
      <c r="D111" s="40" t="s">
        <v>218</v>
      </c>
      <c r="E111" s="52">
        <v>0.09</v>
      </c>
      <c r="F111" s="34">
        <v>0</v>
      </c>
      <c r="G111" s="34">
        <v>0</v>
      </c>
      <c r="H111" s="34">
        <v>89566</v>
      </c>
      <c r="I111" s="34">
        <f>E111*H111</f>
        <v>8060.94</v>
      </c>
      <c r="J111" s="34">
        <v>0</v>
      </c>
      <c r="K111" s="34">
        <v>0</v>
      </c>
      <c r="L111" s="34">
        <v>89566</v>
      </c>
      <c r="M111" s="34">
        <v>8061</v>
      </c>
      <c r="N111" s="33"/>
    </row>
    <row r="112" spans="1:14" s="35" customFormat="1" ht="15" customHeight="1">
      <c r="A112" s="47"/>
      <c r="B112" s="37" t="s">
        <v>219</v>
      </c>
      <c r="C112" s="37" t="s">
        <v>63</v>
      </c>
      <c r="D112" s="40" t="s">
        <v>58</v>
      </c>
      <c r="E112" s="52">
        <v>1</v>
      </c>
      <c r="F112" s="34">
        <v>395.12</v>
      </c>
      <c r="G112" s="34">
        <v>395.1</v>
      </c>
      <c r="H112" s="34">
        <v>0</v>
      </c>
      <c r="I112" s="34">
        <v>0</v>
      </c>
      <c r="J112" s="34">
        <v>0</v>
      </c>
      <c r="K112" s="34">
        <v>0</v>
      </c>
      <c r="L112" s="34">
        <v>395.1</v>
      </c>
      <c r="M112" s="34">
        <v>395.1</v>
      </c>
      <c r="N112" s="33"/>
    </row>
    <row r="113" spans="1:16" ht="15" customHeight="1">
      <c r="A113" s="48"/>
      <c r="B113" s="49" t="s">
        <v>151</v>
      </c>
      <c r="C113" s="46" t="s">
        <v>56</v>
      </c>
      <c r="D113" s="41" t="s">
        <v>56</v>
      </c>
      <c r="E113" s="53"/>
      <c r="F113" s="7"/>
      <c r="G113" s="7">
        <f>SUM(G5:G112)</f>
        <v>732180.20000000007</v>
      </c>
      <c r="H113" s="7"/>
      <c r="I113" s="7">
        <f>SUM(I5:I112)</f>
        <v>8950666.9699999988</v>
      </c>
      <c r="J113" s="7"/>
      <c r="K113" s="7">
        <v>0</v>
      </c>
      <c r="L113" s="36"/>
      <c r="M113" s="7">
        <f>SUM(M5:M112)</f>
        <v>9715060.203999998</v>
      </c>
      <c r="N113" s="2" t="s">
        <v>56</v>
      </c>
      <c r="O113" t="str">
        <f>A5</f>
        <v>일위01호</v>
      </c>
      <c r="P113" s="35"/>
    </row>
    <row r="114" spans="1:16" s="35" customFormat="1" ht="15" customHeight="1">
      <c r="A114" s="44" t="s">
        <v>84</v>
      </c>
      <c r="B114" s="44" t="s">
        <v>177</v>
      </c>
      <c r="C114" s="37" t="s">
        <v>106</v>
      </c>
      <c r="D114" s="42" t="s">
        <v>50</v>
      </c>
      <c r="E114" s="54"/>
      <c r="F114" s="34"/>
      <c r="G114" s="34"/>
      <c r="H114" s="34"/>
      <c r="I114" s="34"/>
      <c r="J114" s="34"/>
      <c r="K114" s="34"/>
      <c r="L114" s="34"/>
      <c r="M114" s="34"/>
      <c r="N114" s="33" t="s">
        <v>192</v>
      </c>
    </row>
    <row r="115" spans="1:16" s="35" customFormat="1" ht="15" customHeight="1">
      <c r="A115" s="44"/>
      <c r="B115" s="37" t="s">
        <v>61</v>
      </c>
      <c r="C115" s="37" t="s">
        <v>56</v>
      </c>
      <c r="D115" s="40" t="s">
        <v>218</v>
      </c>
      <c r="E115" s="54">
        <v>0.2</v>
      </c>
      <c r="F115" s="34"/>
      <c r="G115" s="34"/>
      <c r="H115" s="34">
        <v>89566</v>
      </c>
      <c r="I115" s="34">
        <f>E115*H115</f>
        <v>17913.2</v>
      </c>
      <c r="J115" s="34"/>
      <c r="K115" s="34"/>
      <c r="L115" s="34">
        <v>89566</v>
      </c>
      <c r="M115" s="34">
        <v>17913.2</v>
      </c>
      <c r="N115" s="33" t="s">
        <v>56</v>
      </c>
    </row>
    <row r="116" spans="1:16" ht="15" customHeight="1">
      <c r="A116" s="48"/>
      <c r="B116" s="49" t="s">
        <v>151</v>
      </c>
      <c r="C116" s="46" t="s">
        <v>56</v>
      </c>
      <c r="D116" s="41" t="s">
        <v>56</v>
      </c>
      <c r="E116" s="53"/>
      <c r="F116" s="7"/>
      <c r="G116" s="7">
        <f>SUM(G114:G115)</f>
        <v>0</v>
      </c>
      <c r="H116" s="7"/>
      <c r="I116" s="7">
        <f>SUM(I114:I115)</f>
        <v>17913.2</v>
      </c>
      <c r="J116" s="7"/>
      <c r="K116" s="7">
        <f>SUM(K114:K115)</f>
        <v>0</v>
      </c>
      <c r="L116" s="36"/>
      <c r="M116" s="7">
        <f>SUM(M114:M115)</f>
        <v>17913.2</v>
      </c>
      <c r="N116" s="2" t="s">
        <v>56</v>
      </c>
      <c r="O116" t="str">
        <f>A114</f>
        <v>일위2호</v>
      </c>
      <c r="P116" s="35"/>
    </row>
    <row r="117" spans="1:16" s="35" customFormat="1" ht="15" customHeight="1">
      <c r="A117" s="44" t="s">
        <v>86</v>
      </c>
      <c r="B117" s="44" t="s">
        <v>178</v>
      </c>
      <c r="C117" s="37" t="s">
        <v>191</v>
      </c>
      <c r="D117" s="42" t="s">
        <v>50</v>
      </c>
      <c r="E117" s="52"/>
      <c r="F117" s="34"/>
      <c r="G117" s="34"/>
      <c r="H117" s="34"/>
      <c r="I117" s="34"/>
      <c r="J117" s="34"/>
      <c r="K117" s="34"/>
      <c r="L117" s="34"/>
      <c r="M117" s="34"/>
      <c r="N117" s="33" t="s">
        <v>180</v>
      </c>
    </row>
    <row r="118" spans="1:16" s="35" customFormat="1" ht="15" customHeight="1">
      <c r="A118" s="44"/>
      <c r="B118" s="37" t="s">
        <v>61</v>
      </c>
      <c r="C118" s="37"/>
      <c r="D118" s="40" t="s">
        <v>218</v>
      </c>
      <c r="E118" s="52">
        <v>0.09</v>
      </c>
      <c r="F118" s="34">
        <v>0</v>
      </c>
      <c r="G118" s="34">
        <v>0</v>
      </c>
      <c r="H118" s="34">
        <v>89566</v>
      </c>
      <c r="I118" s="34">
        <f>E118*H118</f>
        <v>8060.94</v>
      </c>
      <c r="J118" s="34">
        <v>0</v>
      </c>
      <c r="K118" s="34">
        <v>0</v>
      </c>
      <c r="L118" s="34">
        <v>89566</v>
      </c>
      <c r="M118" s="34">
        <v>8061</v>
      </c>
      <c r="N118" s="33" t="s">
        <v>56</v>
      </c>
    </row>
    <row r="119" spans="1:16" s="35" customFormat="1" ht="15" customHeight="1">
      <c r="A119" s="44"/>
      <c r="B119" s="37" t="s">
        <v>219</v>
      </c>
      <c r="C119" s="37" t="s">
        <v>94</v>
      </c>
      <c r="D119" s="40" t="s">
        <v>58</v>
      </c>
      <c r="E119" s="52" t="s">
        <v>221</v>
      </c>
      <c r="F119" s="34">
        <f>I120*0.05</f>
        <v>403.04700000000003</v>
      </c>
      <c r="G119" s="34">
        <v>403</v>
      </c>
      <c r="H119" s="34">
        <v>0</v>
      </c>
      <c r="I119" s="34">
        <v>0</v>
      </c>
      <c r="J119" s="34">
        <v>0</v>
      </c>
      <c r="K119" s="34">
        <v>0</v>
      </c>
      <c r="L119" s="34">
        <v>403</v>
      </c>
      <c r="M119" s="34">
        <v>403</v>
      </c>
      <c r="N119" s="33"/>
    </row>
    <row r="120" spans="1:16" s="35" customFormat="1" ht="15" customHeight="1">
      <c r="A120" s="48"/>
      <c r="B120" s="49" t="s">
        <v>151</v>
      </c>
      <c r="C120" s="46" t="s">
        <v>56</v>
      </c>
      <c r="D120" s="41" t="s">
        <v>56</v>
      </c>
      <c r="E120" s="53"/>
      <c r="F120" s="7"/>
      <c r="G120" s="7">
        <f>SUM(G117:G119)</f>
        <v>403</v>
      </c>
      <c r="H120" s="7"/>
      <c r="I120" s="7">
        <f>SUM(I117:I119)</f>
        <v>8060.94</v>
      </c>
      <c r="J120" s="7"/>
      <c r="K120" s="7">
        <f>SUM(K117:K119)</f>
        <v>0</v>
      </c>
      <c r="L120" s="36"/>
      <c r="M120" s="7">
        <f>SUM(M117:M119)</f>
        <v>8464</v>
      </c>
      <c r="N120" s="2" t="s">
        <v>56</v>
      </c>
      <c r="O120" s="35" t="str">
        <f>A117</f>
        <v>일위3호</v>
      </c>
    </row>
    <row r="121" spans="1:16" s="35" customFormat="1" ht="15" customHeight="1">
      <c r="A121" s="44" t="s">
        <v>73</v>
      </c>
      <c r="B121" s="44" t="s">
        <v>124</v>
      </c>
      <c r="C121" s="37" t="s">
        <v>199</v>
      </c>
      <c r="D121" s="40" t="s">
        <v>59</v>
      </c>
      <c r="E121" s="52"/>
      <c r="F121" s="34"/>
      <c r="G121" s="34"/>
      <c r="H121" s="34"/>
      <c r="I121" s="34"/>
      <c r="J121" s="34"/>
      <c r="K121" s="34"/>
      <c r="L121" s="34"/>
      <c r="M121" s="34"/>
      <c r="N121" s="33"/>
    </row>
    <row r="122" spans="1:16" s="35" customFormat="1" ht="15" customHeight="1">
      <c r="A122" s="44"/>
      <c r="B122" s="37" t="s">
        <v>61</v>
      </c>
      <c r="C122" s="37" t="s">
        <v>56</v>
      </c>
      <c r="D122" s="40" t="s">
        <v>218</v>
      </c>
      <c r="E122" s="52">
        <v>0.2</v>
      </c>
      <c r="F122" s="34"/>
      <c r="G122" s="34"/>
      <c r="H122" s="34">
        <v>89566</v>
      </c>
      <c r="I122" s="34">
        <f>E122*H122</f>
        <v>17913.2</v>
      </c>
      <c r="J122" s="34"/>
      <c r="K122" s="34"/>
      <c r="L122" s="34">
        <v>89566</v>
      </c>
      <c r="M122" s="6">
        <f>SUM(G122,I122,K122)</f>
        <v>17913.2</v>
      </c>
      <c r="N122" s="33"/>
    </row>
    <row r="123" spans="1:16" s="35" customFormat="1" ht="15" customHeight="1">
      <c r="A123" s="48"/>
      <c r="B123" s="49" t="s">
        <v>151</v>
      </c>
      <c r="C123" s="46" t="s">
        <v>56</v>
      </c>
      <c r="D123" s="41" t="s">
        <v>56</v>
      </c>
      <c r="E123" s="53"/>
      <c r="F123" s="7"/>
      <c r="G123" s="7">
        <f>SUM(G121:G122)</f>
        <v>0</v>
      </c>
      <c r="H123" s="7"/>
      <c r="I123" s="7">
        <f>SUM(I121:I122)</f>
        <v>17913.2</v>
      </c>
      <c r="J123" s="7"/>
      <c r="K123" s="7">
        <f>SUM(K121:K122)</f>
        <v>0</v>
      </c>
      <c r="L123" s="36"/>
      <c r="M123" s="7">
        <f>SUM(M121:M122)</f>
        <v>17913.2</v>
      </c>
      <c r="N123" s="2" t="s">
        <v>56</v>
      </c>
      <c r="O123" s="35" t="str">
        <f>A121</f>
        <v>일위4호</v>
      </c>
    </row>
    <row r="124" spans="1:16" s="35" customFormat="1" ht="15" customHeight="1">
      <c r="A124" s="44" t="s">
        <v>78</v>
      </c>
      <c r="B124" s="44" t="s">
        <v>124</v>
      </c>
      <c r="C124" s="37" t="s">
        <v>238</v>
      </c>
      <c r="D124" s="40" t="s">
        <v>59</v>
      </c>
      <c r="E124" s="52"/>
      <c r="F124" s="34"/>
      <c r="G124" s="34"/>
      <c r="H124" s="34"/>
      <c r="I124" s="34"/>
      <c r="J124" s="34"/>
      <c r="K124" s="34"/>
      <c r="L124" s="34"/>
      <c r="M124" s="34"/>
      <c r="N124" s="33"/>
    </row>
    <row r="125" spans="1:16" s="35" customFormat="1" ht="15" customHeight="1">
      <c r="A125" s="44"/>
      <c r="B125" s="37" t="s">
        <v>61</v>
      </c>
      <c r="C125" s="37" t="s">
        <v>56</v>
      </c>
      <c r="D125" s="40" t="s">
        <v>218</v>
      </c>
      <c r="E125" s="52">
        <v>0.25</v>
      </c>
      <c r="F125" s="34"/>
      <c r="G125" s="34"/>
      <c r="H125" s="34">
        <v>89566</v>
      </c>
      <c r="I125" s="34">
        <v>21041.5</v>
      </c>
      <c r="J125" s="34"/>
      <c r="K125" s="34"/>
      <c r="L125" s="34">
        <v>89566</v>
      </c>
      <c r="M125" s="6">
        <f>SUM(G125,I125,K125)</f>
        <v>21041.5</v>
      </c>
      <c r="N125" s="33"/>
    </row>
    <row r="126" spans="1:16" s="35" customFormat="1" ht="15" customHeight="1">
      <c r="A126" s="48"/>
      <c r="B126" s="49" t="s">
        <v>151</v>
      </c>
      <c r="C126" s="46" t="s">
        <v>56</v>
      </c>
      <c r="D126" s="41" t="s">
        <v>56</v>
      </c>
      <c r="E126" s="53"/>
      <c r="F126" s="7"/>
      <c r="G126" s="7">
        <f>SUM(G124:G125)</f>
        <v>0</v>
      </c>
      <c r="H126" s="7"/>
      <c r="I126" s="7">
        <f>SUM(I124:I125)</f>
        <v>21041.5</v>
      </c>
      <c r="J126" s="7"/>
      <c r="K126" s="7">
        <v>0</v>
      </c>
      <c r="L126" s="7"/>
      <c r="M126" s="7">
        <f>SUM(M124:M125)</f>
        <v>21041.5</v>
      </c>
      <c r="N126" s="2" t="s">
        <v>56</v>
      </c>
      <c r="O126" s="35" t="str">
        <f>A124</f>
        <v>일위5호</v>
      </c>
    </row>
    <row r="127" spans="1:16" s="35" customFormat="1" ht="15" customHeight="1">
      <c r="A127" s="44" t="s">
        <v>75</v>
      </c>
      <c r="B127" s="44" t="s">
        <v>121</v>
      </c>
      <c r="C127" s="37" t="s">
        <v>102</v>
      </c>
      <c r="D127" s="42" t="s">
        <v>50</v>
      </c>
      <c r="E127" s="52"/>
      <c r="F127" s="38"/>
      <c r="G127" s="38"/>
      <c r="H127" s="38"/>
      <c r="I127" s="38"/>
      <c r="J127" s="38"/>
      <c r="K127" s="38"/>
      <c r="L127" s="38"/>
      <c r="M127" s="38"/>
      <c r="N127" s="37" t="s">
        <v>166</v>
      </c>
    </row>
    <row r="128" spans="1:16" s="35" customFormat="1" ht="15" customHeight="1">
      <c r="A128" s="44"/>
      <c r="B128" s="37" t="s">
        <v>196</v>
      </c>
      <c r="C128" s="37"/>
      <c r="D128" s="40" t="s">
        <v>218</v>
      </c>
      <c r="E128" s="52">
        <v>0.05</v>
      </c>
      <c r="F128" s="38"/>
      <c r="G128" s="38"/>
      <c r="H128" s="38">
        <v>105008</v>
      </c>
      <c r="I128" s="38">
        <v>5250.4000000000005</v>
      </c>
      <c r="J128" s="38"/>
      <c r="K128" s="38"/>
      <c r="L128" s="38">
        <v>105008</v>
      </c>
      <c r="M128" s="38">
        <v>5250.4000000000005</v>
      </c>
      <c r="N128" s="37"/>
    </row>
    <row r="129" spans="1:15" s="35" customFormat="1" ht="15" customHeight="1">
      <c r="A129" s="44"/>
      <c r="B129" s="44" t="s">
        <v>61</v>
      </c>
      <c r="C129" s="37"/>
      <c r="D129" s="40" t="s">
        <v>218</v>
      </c>
      <c r="E129" s="52">
        <v>0.02</v>
      </c>
      <c r="F129" s="38"/>
      <c r="G129" s="38"/>
      <c r="H129" s="38">
        <v>89566</v>
      </c>
      <c r="I129" s="38">
        <v>1791.32</v>
      </c>
      <c r="J129" s="38"/>
      <c r="K129" s="38"/>
      <c r="L129" s="38">
        <v>89566</v>
      </c>
      <c r="M129" s="38">
        <v>1791.32</v>
      </c>
      <c r="N129" s="37"/>
    </row>
    <row r="130" spans="1:15" s="35" customFormat="1" ht="15" customHeight="1">
      <c r="A130" s="44"/>
      <c r="B130" s="44" t="s">
        <v>71</v>
      </c>
      <c r="C130" s="37" t="s">
        <v>97</v>
      </c>
      <c r="D130" s="40" t="s">
        <v>58</v>
      </c>
      <c r="E130" s="52" t="s">
        <v>221</v>
      </c>
      <c r="F130" s="38">
        <v>7042</v>
      </c>
      <c r="G130" s="38">
        <v>211.26</v>
      </c>
      <c r="H130" s="38"/>
      <c r="I130" s="38"/>
      <c r="J130" s="38"/>
      <c r="K130" s="38"/>
      <c r="L130" s="38"/>
      <c r="M130" s="38">
        <v>211</v>
      </c>
      <c r="N130" s="37"/>
    </row>
    <row r="131" spans="1:15" s="35" customFormat="1" ht="15" customHeight="1">
      <c r="A131" s="48"/>
      <c r="B131" s="49" t="s">
        <v>151</v>
      </c>
      <c r="C131" s="46" t="s">
        <v>56</v>
      </c>
      <c r="D131" s="41" t="s">
        <v>56</v>
      </c>
      <c r="E131" s="53"/>
      <c r="F131" s="7"/>
      <c r="G131" s="7">
        <f>SUM(G127:G130)</f>
        <v>211.26</v>
      </c>
      <c r="H131" s="7"/>
      <c r="I131" s="7">
        <f>SUM(I127:I130)</f>
        <v>7041.72</v>
      </c>
      <c r="J131" s="7"/>
      <c r="K131" s="7">
        <v>0</v>
      </c>
      <c r="L131" s="36"/>
      <c r="M131" s="7">
        <f>SUM(M127:M130)</f>
        <v>7252.72</v>
      </c>
      <c r="N131" s="2"/>
      <c r="O131" s="35" t="str">
        <f>A127</f>
        <v>일위6호</v>
      </c>
    </row>
    <row r="132" spans="1:15" s="35" customFormat="1" ht="15" customHeight="1">
      <c r="A132" s="92" t="s">
        <v>82</v>
      </c>
      <c r="B132" s="92" t="s">
        <v>316</v>
      </c>
      <c r="C132" s="85"/>
      <c r="D132" s="86"/>
      <c r="E132" s="93"/>
      <c r="F132" s="94"/>
      <c r="G132" s="94"/>
      <c r="H132" s="94"/>
      <c r="I132" s="94"/>
      <c r="J132" s="94"/>
      <c r="K132" s="94"/>
      <c r="L132" s="94"/>
      <c r="M132" s="94"/>
      <c r="N132" s="85"/>
      <c r="O132" s="95"/>
    </row>
    <row r="133" spans="1:15" s="35" customFormat="1" ht="15" customHeight="1">
      <c r="A133" s="92"/>
      <c r="B133" s="92" t="s">
        <v>310</v>
      </c>
      <c r="C133" s="85"/>
      <c r="D133" s="86" t="s">
        <v>227</v>
      </c>
      <c r="E133" s="93">
        <v>13.05</v>
      </c>
      <c r="F133" s="94">
        <v>122.5</v>
      </c>
      <c r="G133" s="94">
        <f>E133*F133</f>
        <v>1598.625</v>
      </c>
      <c r="H133" s="94">
        <v>0</v>
      </c>
      <c r="I133" s="94">
        <v>0</v>
      </c>
      <c r="J133" s="94">
        <v>0</v>
      </c>
      <c r="K133" s="94">
        <v>0</v>
      </c>
      <c r="L133" s="94">
        <f>SUM(F133,H133,J133)</f>
        <v>122.5</v>
      </c>
      <c r="M133" s="94">
        <f>SUM(G133,I133,K133)</f>
        <v>1598.625</v>
      </c>
      <c r="N133" s="85"/>
      <c r="O133" s="95"/>
    </row>
    <row r="134" spans="1:15" s="35" customFormat="1" ht="15" customHeight="1">
      <c r="A134" s="92"/>
      <c r="B134" s="92" t="s">
        <v>311</v>
      </c>
      <c r="C134" s="85"/>
      <c r="D134" s="86" t="s">
        <v>235</v>
      </c>
      <c r="E134" s="93">
        <v>1.7000000000000001E-2</v>
      </c>
      <c r="F134" s="94">
        <v>26000</v>
      </c>
      <c r="G134" s="94">
        <f t="shared" ref="G134:G136" si="3">E134*F134</f>
        <v>442.00000000000006</v>
      </c>
      <c r="H134" s="94">
        <v>0</v>
      </c>
      <c r="I134" s="94">
        <v>0</v>
      </c>
      <c r="J134" s="94">
        <v>0</v>
      </c>
      <c r="K134" s="94">
        <v>0</v>
      </c>
      <c r="L134" s="94">
        <f t="shared" ref="L134:L142" si="4">SUM(F134,H134,J134)</f>
        <v>26000</v>
      </c>
      <c r="M134" s="84">
        <f t="shared" ref="M134:M143" si="5">SUM(G134,I134,K134)</f>
        <v>442.00000000000006</v>
      </c>
      <c r="N134" s="85"/>
      <c r="O134" s="95"/>
    </row>
    <row r="135" spans="1:15" s="35" customFormat="1" ht="15" customHeight="1">
      <c r="A135" s="92"/>
      <c r="B135" s="92" t="s">
        <v>312</v>
      </c>
      <c r="C135" s="85" t="s">
        <v>313</v>
      </c>
      <c r="D135" s="86" t="s">
        <v>211</v>
      </c>
      <c r="E135" s="93">
        <v>0.65500000000000003</v>
      </c>
      <c r="F135" s="94">
        <v>3752</v>
      </c>
      <c r="G135" s="94">
        <f t="shared" si="3"/>
        <v>2457.56</v>
      </c>
      <c r="H135" s="94">
        <v>0</v>
      </c>
      <c r="I135" s="94">
        <v>0</v>
      </c>
      <c r="J135" s="94">
        <v>0</v>
      </c>
      <c r="K135" s="94">
        <v>0</v>
      </c>
      <c r="L135" s="94">
        <f t="shared" si="4"/>
        <v>3752</v>
      </c>
      <c r="M135" s="84">
        <f t="shared" si="5"/>
        <v>2457.56</v>
      </c>
      <c r="N135" s="85" t="s">
        <v>56</v>
      </c>
      <c r="O135" s="95"/>
    </row>
    <row r="136" spans="1:15" s="35" customFormat="1" ht="15" customHeight="1">
      <c r="A136" s="92"/>
      <c r="B136" s="92" t="s">
        <v>314</v>
      </c>
      <c r="C136" s="85" t="s">
        <v>315</v>
      </c>
      <c r="D136" s="86" t="s">
        <v>50</v>
      </c>
      <c r="E136" s="93">
        <v>1</v>
      </c>
      <c r="F136" s="94">
        <v>404</v>
      </c>
      <c r="G136" s="94">
        <f t="shared" si="3"/>
        <v>404</v>
      </c>
      <c r="H136" s="94">
        <v>13488</v>
      </c>
      <c r="I136" s="94">
        <v>13488</v>
      </c>
      <c r="J136" s="94">
        <v>0</v>
      </c>
      <c r="K136" s="94">
        <v>0</v>
      </c>
      <c r="L136" s="94">
        <f t="shared" si="4"/>
        <v>13892</v>
      </c>
      <c r="M136" s="84">
        <f t="shared" si="5"/>
        <v>13892</v>
      </c>
      <c r="N136" s="85" t="s">
        <v>56</v>
      </c>
      <c r="O136" s="95"/>
    </row>
    <row r="137" spans="1:15" s="35" customFormat="1" ht="15" customHeight="1">
      <c r="A137" s="96"/>
      <c r="B137" s="97" t="s">
        <v>151</v>
      </c>
      <c r="C137" s="98" t="s">
        <v>56</v>
      </c>
      <c r="D137" s="99" t="s">
        <v>56</v>
      </c>
      <c r="E137" s="100"/>
      <c r="F137" s="101"/>
      <c r="G137" s="101">
        <f>SUM(G133:G136)</f>
        <v>4902.1849999999995</v>
      </c>
      <c r="H137" s="101"/>
      <c r="I137" s="101">
        <v>13488</v>
      </c>
      <c r="J137" s="101"/>
      <c r="K137" s="101">
        <v>0</v>
      </c>
      <c r="L137" s="102"/>
      <c r="M137" s="101">
        <f t="shared" si="5"/>
        <v>18390.184999999998</v>
      </c>
      <c r="N137" s="103" t="s">
        <v>56</v>
      </c>
      <c r="O137" s="95" t="str">
        <f>A132</f>
        <v>일위7호</v>
      </c>
    </row>
    <row r="138" spans="1:15" s="35" customFormat="1" ht="15" customHeight="1">
      <c r="A138" s="92" t="s">
        <v>80</v>
      </c>
      <c r="B138" s="92" t="s">
        <v>318</v>
      </c>
      <c r="C138" s="85"/>
      <c r="D138" s="104"/>
      <c r="E138" s="93"/>
      <c r="F138" s="94"/>
      <c r="G138" s="94"/>
      <c r="H138" s="94"/>
      <c r="I138" s="94"/>
      <c r="J138" s="94"/>
      <c r="K138" s="94"/>
      <c r="L138" s="94">
        <f t="shared" si="4"/>
        <v>0</v>
      </c>
      <c r="M138" s="94">
        <f t="shared" si="5"/>
        <v>0</v>
      </c>
      <c r="N138" s="85"/>
      <c r="O138" s="95"/>
    </row>
    <row r="139" spans="1:15" s="35" customFormat="1" ht="15" customHeight="1">
      <c r="A139" s="92"/>
      <c r="B139" s="92" t="s">
        <v>310</v>
      </c>
      <c r="C139" s="85"/>
      <c r="D139" s="104" t="s">
        <v>227</v>
      </c>
      <c r="E139" s="93">
        <v>7.2</v>
      </c>
      <c r="F139" s="94">
        <v>122.5</v>
      </c>
      <c r="G139" s="94">
        <f>E139*F139</f>
        <v>882</v>
      </c>
      <c r="H139" s="94">
        <v>0</v>
      </c>
      <c r="I139" s="94">
        <v>0</v>
      </c>
      <c r="J139" s="94">
        <v>0</v>
      </c>
      <c r="K139" s="94">
        <v>0</v>
      </c>
      <c r="L139" s="94">
        <f t="shared" si="4"/>
        <v>122.5</v>
      </c>
      <c r="M139" s="84">
        <f t="shared" si="5"/>
        <v>882</v>
      </c>
      <c r="N139" s="85"/>
      <c r="O139" s="95"/>
    </row>
    <row r="140" spans="1:15" s="35" customFormat="1" ht="15" customHeight="1">
      <c r="A140" s="92"/>
      <c r="B140" s="92" t="s">
        <v>311</v>
      </c>
      <c r="C140" s="85"/>
      <c r="D140" s="104" t="s">
        <v>235</v>
      </c>
      <c r="E140" s="93">
        <v>0.01</v>
      </c>
      <c r="F140" s="94">
        <v>26000</v>
      </c>
      <c r="G140" s="94">
        <f t="shared" ref="G140:G142" si="6">E140*F140</f>
        <v>260</v>
      </c>
      <c r="H140" s="94">
        <v>0</v>
      </c>
      <c r="I140" s="94">
        <v>0</v>
      </c>
      <c r="J140" s="94">
        <v>0</v>
      </c>
      <c r="K140" s="94">
        <v>0</v>
      </c>
      <c r="L140" s="94">
        <f t="shared" si="4"/>
        <v>26000</v>
      </c>
      <c r="M140" s="84">
        <f t="shared" si="5"/>
        <v>260</v>
      </c>
      <c r="N140" s="85"/>
      <c r="O140" s="95"/>
    </row>
    <row r="141" spans="1:15" s="35" customFormat="1" ht="15" customHeight="1">
      <c r="A141" s="92"/>
      <c r="B141" s="92" t="s">
        <v>312</v>
      </c>
      <c r="C141" s="85" t="s">
        <v>313</v>
      </c>
      <c r="D141" s="104" t="s">
        <v>211</v>
      </c>
      <c r="E141" s="93">
        <v>0.46</v>
      </c>
      <c r="F141" s="94">
        <v>3752</v>
      </c>
      <c r="G141" s="94">
        <f t="shared" si="6"/>
        <v>1725.92</v>
      </c>
      <c r="H141" s="94">
        <v>0</v>
      </c>
      <c r="I141" s="94">
        <v>0</v>
      </c>
      <c r="J141" s="94">
        <v>0</v>
      </c>
      <c r="K141" s="94">
        <v>0</v>
      </c>
      <c r="L141" s="94">
        <f t="shared" si="4"/>
        <v>3752</v>
      </c>
      <c r="M141" s="84">
        <f t="shared" si="5"/>
        <v>1725.92</v>
      </c>
      <c r="N141" s="85" t="s">
        <v>56</v>
      </c>
      <c r="O141" s="95"/>
    </row>
    <row r="142" spans="1:15" s="35" customFormat="1" ht="15" customHeight="1">
      <c r="A142" s="92"/>
      <c r="B142" s="92" t="s">
        <v>314</v>
      </c>
      <c r="C142" s="85" t="s">
        <v>317</v>
      </c>
      <c r="D142" s="104" t="s">
        <v>50</v>
      </c>
      <c r="E142" s="93">
        <v>1</v>
      </c>
      <c r="F142" s="94">
        <v>317</v>
      </c>
      <c r="G142" s="94">
        <f t="shared" si="6"/>
        <v>317</v>
      </c>
      <c r="H142" s="94">
        <v>10588</v>
      </c>
      <c r="I142" s="94">
        <v>10588</v>
      </c>
      <c r="J142" s="94">
        <v>0</v>
      </c>
      <c r="K142" s="94">
        <v>0</v>
      </c>
      <c r="L142" s="94">
        <f t="shared" si="4"/>
        <v>10905</v>
      </c>
      <c r="M142" s="84">
        <f t="shared" si="5"/>
        <v>10905</v>
      </c>
      <c r="N142" s="85" t="s">
        <v>56</v>
      </c>
      <c r="O142" s="95"/>
    </row>
    <row r="143" spans="1:15" s="35" customFormat="1" ht="15" customHeight="1">
      <c r="A143" s="96"/>
      <c r="B143" s="97" t="s">
        <v>151</v>
      </c>
      <c r="C143" s="98" t="s">
        <v>56</v>
      </c>
      <c r="D143" s="99" t="s">
        <v>56</v>
      </c>
      <c r="E143" s="100"/>
      <c r="F143" s="101"/>
      <c r="G143" s="101">
        <f>SUM(G139:G142)</f>
        <v>3184.92</v>
      </c>
      <c r="H143" s="101"/>
      <c r="I143" s="101">
        <v>10588</v>
      </c>
      <c r="J143" s="101"/>
      <c r="K143" s="101">
        <v>0</v>
      </c>
      <c r="L143" s="102"/>
      <c r="M143" s="101">
        <f t="shared" si="5"/>
        <v>13772.92</v>
      </c>
      <c r="N143" s="103" t="s">
        <v>56</v>
      </c>
      <c r="O143" s="95" t="str">
        <f>A138</f>
        <v>일위8호</v>
      </c>
    </row>
    <row r="144" spans="1:15" s="35" customFormat="1" ht="15" customHeight="1">
      <c r="A144" s="44" t="s">
        <v>83</v>
      </c>
      <c r="B144" s="44" t="s">
        <v>121</v>
      </c>
      <c r="C144" s="37" t="s">
        <v>249</v>
      </c>
      <c r="D144" s="40" t="s">
        <v>50</v>
      </c>
      <c r="E144" s="52"/>
      <c r="F144" s="38"/>
      <c r="G144" s="38"/>
      <c r="H144" s="38"/>
      <c r="I144" s="38"/>
      <c r="J144" s="38"/>
      <c r="K144" s="38"/>
      <c r="L144" s="38"/>
      <c r="M144" s="38"/>
      <c r="N144" s="70" t="s">
        <v>148</v>
      </c>
    </row>
    <row r="145" spans="1:15" s="35" customFormat="1" ht="15" customHeight="1">
      <c r="A145" s="44"/>
      <c r="B145" s="44" t="s">
        <v>146</v>
      </c>
      <c r="C145" s="37" t="s">
        <v>297</v>
      </c>
      <c r="D145" s="40" t="s">
        <v>235</v>
      </c>
      <c r="E145" s="52">
        <v>1.2E-2</v>
      </c>
      <c r="F145" s="38">
        <v>91075</v>
      </c>
      <c r="G145" s="38">
        <f>E145*F145</f>
        <v>1092.9000000000001</v>
      </c>
      <c r="H145" s="38">
        <v>59114</v>
      </c>
      <c r="I145" s="38">
        <f>E145*H145</f>
        <v>709.36800000000005</v>
      </c>
      <c r="J145" s="38"/>
      <c r="K145" s="38"/>
      <c r="L145" s="38">
        <f t="shared" ref="L145:M147" si="7">SUM(F145,H145,J145)</f>
        <v>150189</v>
      </c>
      <c r="M145" s="6">
        <f t="shared" si="7"/>
        <v>1802.268</v>
      </c>
      <c r="N145" s="70" t="s">
        <v>112</v>
      </c>
    </row>
    <row r="146" spans="1:15" s="35" customFormat="1" ht="15" customHeight="1">
      <c r="A146" s="44"/>
      <c r="B146" s="44" t="s">
        <v>231</v>
      </c>
      <c r="C146" s="37" t="s">
        <v>56</v>
      </c>
      <c r="D146" s="40" t="s">
        <v>218</v>
      </c>
      <c r="E146" s="52">
        <v>4.7E-2</v>
      </c>
      <c r="F146" s="38"/>
      <c r="G146" s="38"/>
      <c r="H146" s="38">
        <v>141989</v>
      </c>
      <c r="I146" s="38">
        <f>E146*H146</f>
        <v>6673.4830000000002</v>
      </c>
      <c r="J146" s="38"/>
      <c r="K146" s="38"/>
      <c r="L146" s="38">
        <f t="shared" si="7"/>
        <v>141989</v>
      </c>
      <c r="M146" s="6">
        <f t="shared" si="7"/>
        <v>6673.4830000000002</v>
      </c>
      <c r="N146" s="70"/>
    </row>
    <row r="147" spans="1:15" s="35" customFormat="1" ht="15" customHeight="1">
      <c r="A147" s="44"/>
      <c r="B147" s="44" t="s">
        <v>61</v>
      </c>
      <c r="C147" s="37" t="s">
        <v>56</v>
      </c>
      <c r="D147" s="40" t="s">
        <v>218</v>
      </c>
      <c r="E147" s="52">
        <v>2.3E-2</v>
      </c>
      <c r="F147" s="38"/>
      <c r="G147" s="38"/>
      <c r="H147" s="38">
        <v>89566</v>
      </c>
      <c r="I147" s="38">
        <f>E147*H147</f>
        <v>2060.018</v>
      </c>
      <c r="J147" s="38"/>
      <c r="K147" s="38"/>
      <c r="L147" s="38">
        <f t="shared" si="7"/>
        <v>89566</v>
      </c>
      <c r="M147" s="6">
        <f t="shared" si="7"/>
        <v>2060.018</v>
      </c>
      <c r="N147" s="70"/>
    </row>
    <row r="148" spans="1:15" s="35" customFormat="1" ht="15" customHeight="1">
      <c r="A148" s="48"/>
      <c r="B148" s="49" t="s">
        <v>151</v>
      </c>
      <c r="C148" s="46" t="s">
        <v>56</v>
      </c>
      <c r="D148" s="41" t="s">
        <v>56</v>
      </c>
      <c r="E148" s="53"/>
      <c r="F148" s="7"/>
      <c r="G148" s="7">
        <f>SUM(G144:G147)</f>
        <v>1092.9000000000001</v>
      </c>
      <c r="H148" s="7"/>
      <c r="I148" s="7">
        <f>SUM(I145:I147)</f>
        <v>9442.8690000000006</v>
      </c>
      <c r="J148" s="7"/>
      <c r="K148" s="7">
        <f>SUM(K144:K147)</f>
        <v>0</v>
      </c>
      <c r="L148" s="36">
        <f>SUM(F148,H148,J148)</f>
        <v>0</v>
      </c>
      <c r="M148" s="7">
        <f>SUM(M144:M147)</f>
        <v>10535.769</v>
      </c>
      <c r="N148" s="2"/>
      <c r="O148" s="35" t="str">
        <f>A144</f>
        <v>일위9호</v>
      </c>
    </row>
    <row r="149" spans="1:15" s="35" customFormat="1" ht="15" customHeight="1">
      <c r="A149" s="44" t="s">
        <v>74</v>
      </c>
      <c r="B149" s="44" t="s">
        <v>121</v>
      </c>
      <c r="C149" s="37" t="s">
        <v>268</v>
      </c>
      <c r="D149" s="40" t="s">
        <v>50</v>
      </c>
      <c r="E149" s="52"/>
      <c r="F149" s="38"/>
      <c r="G149" s="38"/>
      <c r="H149" s="38"/>
      <c r="I149" s="38"/>
      <c r="J149" s="38"/>
      <c r="K149" s="38"/>
      <c r="L149" s="38"/>
      <c r="M149" s="38"/>
      <c r="N149" s="37" t="s">
        <v>148</v>
      </c>
    </row>
    <row r="150" spans="1:15" s="35" customFormat="1" ht="15" customHeight="1">
      <c r="A150" s="37"/>
      <c r="B150" s="37" t="s">
        <v>146</v>
      </c>
      <c r="C150" s="37" t="s">
        <v>297</v>
      </c>
      <c r="D150" s="42" t="s">
        <v>235</v>
      </c>
      <c r="E150" s="52">
        <v>2.4E-2</v>
      </c>
      <c r="F150" s="38">
        <v>91075</v>
      </c>
      <c r="G150" s="38">
        <f>E150*F150</f>
        <v>2185.8000000000002</v>
      </c>
      <c r="H150" s="38">
        <v>59114</v>
      </c>
      <c r="I150" s="38">
        <f>E150*H150</f>
        <v>1418.7360000000001</v>
      </c>
      <c r="J150" s="38"/>
      <c r="K150" s="38"/>
      <c r="L150" s="38">
        <f t="shared" ref="L150:M152" si="8">SUM(F150,H150,J150)</f>
        <v>150189</v>
      </c>
      <c r="M150" s="6">
        <f t="shared" si="8"/>
        <v>3604.5360000000001</v>
      </c>
      <c r="N150" s="37" t="s">
        <v>112</v>
      </c>
    </row>
    <row r="151" spans="1:15" s="35" customFormat="1" ht="15" customHeight="1">
      <c r="A151" s="55"/>
      <c r="B151" s="56" t="s">
        <v>231</v>
      </c>
      <c r="C151" s="37" t="s">
        <v>56</v>
      </c>
      <c r="D151" s="42" t="s">
        <v>218</v>
      </c>
      <c r="E151" s="54">
        <v>3.5000000000000003E-2</v>
      </c>
      <c r="F151" s="38"/>
      <c r="G151" s="38"/>
      <c r="H151" s="38">
        <v>141989</v>
      </c>
      <c r="I151" s="38">
        <f>E151*H151</f>
        <v>4969.6150000000007</v>
      </c>
      <c r="J151" s="38"/>
      <c r="K151" s="38"/>
      <c r="L151" s="38">
        <f t="shared" si="8"/>
        <v>141989</v>
      </c>
      <c r="M151" s="6">
        <f t="shared" si="8"/>
        <v>4969.6150000000007</v>
      </c>
      <c r="N151" s="37"/>
    </row>
    <row r="152" spans="1:15" s="35" customFormat="1" ht="15" customHeight="1">
      <c r="A152" s="57"/>
      <c r="B152" s="57" t="s">
        <v>61</v>
      </c>
      <c r="C152" s="37" t="s">
        <v>56</v>
      </c>
      <c r="D152" s="42" t="s">
        <v>218</v>
      </c>
      <c r="E152" s="52">
        <v>1.7999999999999999E-2</v>
      </c>
      <c r="F152" s="38"/>
      <c r="G152" s="38"/>
      <c r="H152" s="38">
        <v>89566</v>
      </c>
      <c r="I152" s="38">
        <f>E152*H152</f>
        <v>1612.1879999999999</v>
      </c>
      <c r="J152" s="38"/>
      <c r="K152" s="38"/>
      <c r="L152" s="38">
        <f t="shared" si="8"/>
        <v>89566</v>
      </c>
      <c r="M152" s="6">
        <f t="shared" si="8"/>
        <v>1612.1879999999999</v>
      </c>
      <c r="N152" s="37"/>
    </row>
    <row r="153" spans="1:15" s="35" customFormat="1" ht="15" customHeight="1">
      <c r="A153" s="48"/>
      <c r="B153" s="49" t="s">
        <v>151</v>
      </c>
      <c r="C153" s="46" t="s">
        <v>56</v>
      </c>
      <c r="D153" s="41" t="s">
        <v>56</v>
      </c>
      <c r="E153" s="53"/>
      <c r="F153" s="7"/>
      <c r="G153" s="7">
        <f>SUM(G149:G152)</f>
        <v>2185.8000000000002</v>
      </c>
      <c r="H153" s="7"/>
      <c r="I153" s="7">
        <f>SUM(I150:I152)</f>
        <v>8000.5390000000007</v>
      </c>
      <c r="J153" s="7">
        <f>SUM(J150)</f>
        <v>0</v>
      </c>
      <c r="K153" s="7">
        <f>SUM(K149:K152)</f>
        <v>0</v>
      </c>
      <c r="L153" s="36"/>
      <c r="M153" s="7">
        <f>SUM(M149:M152)</f>
        <v>10186.339000000002</v>
      </c>
      <c r="N153" s="2"/>
      <c r="O153" s="35" t="str">
        <f>A149</f>
        <v>일위10호</v>
      </c>
    </row>
    <row r="154" spans="1:15" s="35" customFormat="1" ht="15" customHeight="1">
      <c r="A154" s="58" t="s">
        <v>87</v>
      </c>
      <c r="B154" s="58" t="s">
        <v>146</v>
      </c>
      <c r="C154" s="37" t="s">
        <v>297</v>
      </c>
      <c r="D154" s="40" t="s">
        <v>235</v>
      </c>
      <c r="E154" s="52"/>
      <c r="F154" s="38"/>
      <c r="G154" s="38"/>
      <c r="H154" s="38"/>
      <c r="I154" s="38"/>
      <c r="J154" s="38"/>
      <c r="K154" s="38"/>
      <c r="L154" s="38"/>
      <c r="M154" s="38"/>
      <c r="N154" s="37" t="s">
        <v>165</v>
      </c>
    </row>
    <row r="155" spans="1:15" s="35" customFormat="1" ht="15" customHeight="1">
      <c r="A155" s="57"/>
      <c r="B155" s="57" t="s">
        <v>234</v>
      </c>
      <c r="C155" s="37" t="s">
        <v>234</v>
      </c>
      <c r="D155" s="42" t="s">
        <v>227</v>
      </c>
      <c r="E155" s="52">
        <v>510</v>
      </c>
      <c r="F155" s="34">
        <v>122.5</v>
      </c>
      <c r="G155" s="38">
        <f>E155*F155</f>
        <v>62475</v>
      </c>
      <c r="H155" s="38"/>
      <c r="I155" s="38"/>
      <c r="J155" s="38"/>
      <c r="K155" s="38"/>
      <c r="L155" s="38">
        <f t="shared" ref="L155:M157" si="9">SUM(F155,H155,J155)</f>
        <v>122.5</v>
      </c>
      <c r="M155" s="6">
        <f t="shared" si="9"/>
        <v>62475</v>
      </c>
      <c r="N155" s="37" t="s">
        <v>250</v>
      </c>
    </row>
    <row r="156" spans="1:15" s="35" customFormat="1" ht="15" customHeight="1">
      <c r="A156" s="57"/>
      <c r="B156" s="57" t="s">
        <v>243</v>
      </c>
      <c r="C156" s="37" t="s">
        <v>243</v>
      </c>
      <c r="D156" s="42" t="s">
        <v>235</v>
      </c>
      <c r="E156" s="52">
        <v>1.1000000000000001</v>
      </c>
      <c r="F156" s="34">
        <v>26000</v>
      </c>
      <c r="G156" s="38">
        <f>E156*F156</f>
        <v>28600.000000000004</v>
      </c>
      <c r="H156" s="38"/>
      <c r="I156" s="38"/>
      <c r="J156" s="38"/>
      <c r="K156" s="38"/>
      <c r="L156" s="38">
        <f t="shared" si="9"/>
        <v>26000</v>
      </c>
      <c r="M156" s="6">
        <f t="shared" si="9"/>
        <v>28600.000000000004</v>
      </c>
      <c r="N156" s="37" t="s">
        <v>133</v>
      </c>
    </row>
    <row r="157" spans="1:15" s="35" customFormat="1" ht="15" customHeight="1">
      <c r="A157" s="57"/>
      <c r="B157" s="57" t="s">
        <v>61</v>
      </c>
      <c r="C157" s="37" t="s">
        <v>56</v>
      </c>
      <c r="D157" s="42" t="s">
        <v>218</v>
      </c>
      <c r="E157" s="52">
        <v>0.66</v>
      </c>
      <c r="F157" s="38"/>
      <c r="G157" s="38"/>
      <c r="H157" s="38">
        <v>89566</v>
      </c>
      <c r="I157" s="38">
        <f>E157*H157</f>
        <v>59113.560000000005</v>
      </c>
      <c r="J157" s="38"/>
      <c r="K157" s="38"/>
      <c r="L157" s="38">
        <f t="shared" si="9"/>
        <v>89566</v>
      </c>
      <c r="M157" s="6">
        <f t="shared" si="9"/>
        <v>59113.560000000005</v>
      </c>
      <c r="N157" s="37"/>
    </row>
    <row r="158" spans="1:15" s="35" customFormat="1" ht="15" customHeight="1">
      <c r="A158" s="48"/>
      <c r="B158" s="49" t="s">
        <v>151</v>
      </c>
      <c r="C158" s="46" t="s">
        <v>56</v>
      </c>
      <c r="D158" s="41" t="s">
        <v>56</v>
      </c>
      <c r="E158" s="53"/>
      <c r="F158" s="7"/>
      <c r="G158" s="7">
        <f>SUM(G154:G157)</f>
        <v>91075</v>
      </c>
      <c r="H158" s="7"/>
      <c r="I158" s="7">
        <f>SUM(I154:I157)</f>
        <v>59113.560000000005</v>
      </c>
      <c r="J158" s="7">
        <f>SUM(J155)</f>
        <v>0</v>
      </c>
      <c r="K158" s="7">
        <f>SUM(K154:K157)</f>
        <v>0</v>
      </c>
      <c r="L158" s="36"/>
      <c r="M158" s="7">
        <f>SUM(M154:M157)</f>
        <v>150188.56</v>
      </c>
      <c r="N158" s="2"/>
      <c r="O158" s="35" t="str">
        <f>A154</f>
        <v>일위11호</v>
      </c>
    </row>
    <row r="159" spans="1:15" s="35" customFormat="1" ht="15" customHeight="1">
      <c r="A159" s="44" t="s">
        <v>81</v>
      </c>
      <c r="B159" s="44" t="s">
        <v>126</v>
      </c>
      <c r="C159" s="37" t="s">
        <v>156</v>
      </c>
      <c r="D159" s="40" t="s">
        <v>235</v>
      </c>
      <c r="E159" s="52"/>
      <c r="F159" s="34"/>
      <c r="G159" s="34"/>
      <c r="H159" s="34"/>
      <c r="I159" s="34"/>
      <c r="J159" s="34"/>
      <c r="K159" s="34"/>
      <c r="L159" s="34"/>
      <c r="M159" s="34"/>
      <c r="N159" s="33" t="s">
        <v>165</v>
      </c>
    </row>
    <row r="160" spans="1:15" ht="15" customHeight="1">
      <c r="A160" s="57"/>
      <c r="B160" s="57" t="s">
        <v>234</v>
      </c>
      <c r="C160" s="37" t="s">
        <v>234</v>
      </c>
      <c r="D160" s="40" t="s">
        <v>227</v>
      </c>
      <c r="E160" s="52">
        <v>680</v>
      </c>
      <c r="F160" s="34">
        <v>122.5</v>
      </c>
      <c r="G160" s="34">
        <f>E160*F160</f>
        <v>83300</v>
      </c>
      <c r="H160" s="34"/>
      <c r="I160" s="6"/>
      <c r="J160" s="34"/>
      <c r="K160" s="34"/>
      <c r="L160" s="38">
        <f>SUM(F160,H160,J160)</f>
        <v>122.5</v>
      </c>
      <c r="M160" s="6">
        <f>SUM(G160,I160,K160)</f>
        <v>83300</v>
      </c>
      <c r="N160" s="37" t="s">
        <v>250</v>
      </c>
    </row>
    <row r="161" spans="1:15" ht="15" customHeight="1">
      <c r="A161" s="57"/>
      <c r="B161" s="57" t="s">
        <v>243</v>
      </c>
      <c r="C161" s="37" t="s">
        <v>243</v>
      </c>
      <c r="D161" s="40" t="s">
        <v>235</v>
      </c>
      <c r="E161" s="52">
        <v>0.98</v>
      </c>
      <c r="F161" s="34">
        <v>26000</v>
      </c>
      <c r="G161" s="34">
        <f>E161*F161</f>
        <v>25480</v>
      </c>
      <c r="H161" s="34"/>
      <c r="I161" s="6"/>
      <c r="J161" s="34"/>
      <c r="K161" s="34"/>
      <c r="L161" s="38">
        <f>SUM(F161,H161,J161)</f>
        <v>26000</v>
      </c>
      <c r="M161" s="6">
        <f>SUM(G161,I161,K161)</f>
        <v>25480</v>
      </c>
      <c r="N161" s="37" t="s">
        <v>133</v>
      </c>
    </row>
    <row r="162" spans="1:15" ht="15" customHeight="1">
      <c r="A162" s="48"/>
      <c r="B162" s="49" t="s">
        <v>151</v>
      </c>
      <c r="C162" s="46" t="s">
        <v>56</v>
      </c>
      <c r="D162" s="41" t="s">
        <v>56</v>
      </c>
      <c r="E162" s="53"/>
      <c r="F162" s="7"/>
      <c r="G162" s="7">
        <f>SUM(G159:G161)</f>
        <v>108780</v>
      </c>
      <c r="H162" s="7"/>
      <c r="I162" s="7">
        <f>SUM(I159:I161)</f>
        <v>0</v>
      </c>
      <c r="J162" s="7">
        <f>SUM(J160:J161)</f>
        <v>0</v>
      </c>
      <c r="K162" s="7">
        <f>SUM(K159:K161)</f>
        <v>0</v>
      </c>
      <c r="L162" s="36">
        <f>SUM(F162,H162,J162)</f>
        <v>0</v>
      </c>
      <c r="M162" s="7">
        <f>SUM(M159:M161)</f>
        <v>108780</v>
      </c>
      <c r="N162" s="2"/>
      <c r="O162" t="str">
        <f>A159</f>
        <v>일위12호</v>
      </c>
    </row>
    <row r="163" spans="1:15" ht="15" customHeight="1">
      <c r="A163" s="58" t="s">
        <v>68</v>
      </c>
      <c r="B163" s="58" t="s">
        <v>126</v>
      </c>
      <c r="C163" s="37" t="s">
        <v>153</v>
      </c>
      <c r="D163" s="40" t="s">
        <v>235</v>
      </c>
      <c r="E163" s="52"/>
      <c r="F163" s="34"/>
      <c r="G163" s="34"/>
      <c r="H163" s="34"/>
      <c r="I163" s="34"/>
      <c r="J163" s="34"/>
      <c r="K163" s="34"/>
      <c r="L163" s="34"/>
      <c r="M163" s="34"/>
      <c r="N163" s="33" t="s">
        <v>165</v>
      </c>
    </row>
    <row r="164" spans="1:15" ht="15" customHeight="1">
      <c r="A164" s="57"/>
      <c r="B164" s="57" t="s">
        <v>234</v>
      </c>
      <c r="C164" s="37" t="s">
        <v>234</v>
      </c>
      <c r="D164" s="40" t="s">
        <v>227</v>
      </c>
      <c r="E164" s="52">
        <v>1093</v>
      </c>
      <c r="F164" s="34">
        <v>122.5</v>
      </c>
      <c r="G164" s="34">
        <f>E164*F164</f>
        <v>133892.5</v>
      </c>
      <c r="H164" s="34"/>
      <c r="I164" s="6"/>
      <c r="J164" s="34"/>
      <c r="K164" s="34"/>
      <c r="L164" s="38">
        <f>SUM(F164,H164,J164)</f>
        <v>122.5</v>
      </c>
      <c r="M164" s="6">
        <f>SUM(G164,I164,K164)</f>
        <v>133892.5</v>
      </c>
      <c r="N164" s="37" t="s">
        <v>250</v>
      </c>
    </row>
    <row r="165" spans="1:15" ht="15" customHeight="1">
      <c r="A165" s="57"/>
      <c r="B165" s="57" t="s">
        <v>243</v>
      </c>
      <c r="C165" s="37" t="s">
        <v>243</v>
      </c>
      <c r="D165" s="40" t="s">
        <v>235</v>
      </c>
      <c r="E165" s="52">
        <v>0.78</v>
      </c>
      <c r="F165" s="34">
        <v>26000</v>
      </c>
      <c r="G165" s="34">
        <f>E165*F165</f>
        <v>20280</v>
      </c>
      <c r="H165" s="34"/>
      <c r="I165" s="6"/>
      <c r="J165" s="34"/>
      <c r="K165" s="34"/>
      <c r="L165" s="38">
        <f>SUM(F165,H165,J165)</f>
        <v>26000</v>
      </c>
      <c r="M165" s="6">
        <f>SUM(G165,I165,K165)</f>
        <v>20280</v>
      </c>
      <c r="N165" s="37" t="s">
        <v>133</v>
      </c>
    </row>
    <row r="166" spans="1:15" ht="15" customHeight="1">
      <c r="A166" s="48"/>
      <c r="B166" s="49" t="s">
        <v>151</v>
      </c>
      <c r="C166" s="46" t="s">
        <v>56</v>
      </c>
      <c r="D166" s="41" t="s">
        <v>56</v>
      </c>
      <c r="E166" s="53"/>
      <c r="F166" s="7"/>
      <c r="G166" s="7">
        <f>SUM(G164:G165)</f>
        <v>154172.5</v>
      </c>
      <c r="H166" s="7"/>
      <c r="I166" s="7">
        <f>SUM(I163:I165)</f>
        <v>0</v>
      </c>
      <c r="J166" s="7">
        <f>SUM(J164:J165)</f>
        <v>0</v>
      </c>
      <c r="K166" s="7">
        <f>SUM(K163:K165)</f>
        <v>0</v>
      </c>
      <c r="L166" s="36">
        <f>SUM(F166,H166,J166)</f>
        <v>0</v>
      </c>
      <c r="M166" s="7">
        <f>SUM(M163:M165)</f>
        <v>154172.5</v>
      </c>
      <c r="N166" s="2"/>
      <c r="O166" t="str">
        <f>A163</f>
        <v>일위13호</v>
      </c>
    </row>
    <row r="167" spans="1:15" s="35" customFormat="1" ht="15" customHeight="1">
      <c r="A167" s="58" t="s">
        <v>308</v>
      </c>
      <c r="B167" s="58" t="s">
        <v>309</v>
      </c>
      <c r="C167" s="57"/>
      <c r="D167" s="40"/>
      <c r="E167" s="52"/>
      <c r="F167" s="34"/>
      <c r="G167" s="34"/>
      <c r="H167" s="34"/>
      <c r="I167" s="34"/>
      <c r="J167" s="34"/>
      <c r="K167" s="34"/>
      <c r="L167" s="34"/>
      <c r="M167" s="34"/>
      <c r="N167" s="33"/>
    </row>
    <row r="168" spans="1:15" s="35" customFormat="1" ht="15" customHeight="1">
      <c r="A168" s="57"/>
      <c r="B168" s="57" t="s">
        <v>254</v>
      </c>
      <c r="C168" s="57" t="s">
        <v>299</v>
      </c>
      <c r="D168" s="40" t="s">
        <v>50</v>
      </c>
      <c r="E168" s="52">
        <v>1.03</v>
      </c>
      <c r="F168" s="34">
        <v>8460</v>
      </c>
      <c r="G168" s="34">
        <v>8713.7999999999993</v>
      </c>
      <c r="H168" s="34">
        <v>0</v>
      </c>
      <c r="I168" s="6">
        <v>0</v>
      </c>
      <c r="J168" s="34">
        <v>0</v>
      </c>
      <c r="K168" s="34">
        <v>0</v>
      </c>
      <c r="L168" s="38">
        <v>8460</v>
      </c>
      <c r="M168" s="6">
        <v>8713.7999999999993</v>
      </c>
      <c r="N168" s="33"/>
    </row>
    <row r="169" spans="1:15" s="35" customFormat="1" ht="15" customHeight="1">
      <c r="A169" s="57"/>
      <c r="B169" s="57" t="s">
        <v>300</v>
      </c>
      <c r="C169" s="57" t="s">
        <v>301</v>
      </c>
      <c r="D169" s="40" t="s">
        <v>227</v>
      </c>
      <c r="E169" s="52">
        <v>14.135</v>
      </c>
      <c r="F169" s="34">
        <v>216</v>
      </c>
      <c r="G169" s="34">
        <v>3053.1</v>
      </c>
      <c r="H169" s="34">
        <v>0</v>
      </c>
      <c r="I169" s="6">
        <v>0</v>
      </c>
      <c r="J169" s="34">
        <v>0</v>
      </c>
      <c r="K169" s="34">
        <v>0</v>
      </c>
      <c r="L169" s="38">
        <v>216</v>
      </c>
      <c r="M169" s="6">
        <v>3053.1</v>
      </c>
      <c r="N169" s="33"/>
    </row>
    <row r="170" spans="1:15" s="35" customFormat="1" ht="15" customHeight="1">
      <c r="A170" s="57"/>
      <c r="B170" s="57" t="s">
        <v>55</v>
      </c>
      <c r="C170" s="57" t="s">
        <v>222</v>
      </c>
      <c r="D170" s="40" t="s">
        <v>218</v>
      </c>
      <c r="E170" s="52">
        <v>0.155</v>
      </c>
      <c r="F170" s="34">
        <v>0</v>
      </c>
      <c r="G170" s="34">
        <v>0</v>
      </c>
      <c r="H170" s="34">
        <v>133837</v>
      </c>
      <c r="I170" s="6">
        <v>20744.7</v>
      </c>
      <c r="J170" s="34">
        <v>0</v>
      </c>
      <c r="K170" s="34">
        <v>0</v>
      </c>
      <c r="L170" s="38">
        <v>133837</v>
      </c>
      <c r="M170" s="6">
        <v>20744.7</v>
      </c>
      <c r="N170" s="33"/>
    </row>
    <row r="171" spans="1:15" s="35" customFormat="1" ht="15" customHeight="1">
      <c r="A171" s="57"/>
      <c r="B171" s="57" t="s">
        <v>55</v>
      </c>
      <c r="C171" s="57" t="s">
        <v>216</v>
      </c>
      <c r="D171" s="40" t="s">
        <v>218</v>
      </c>
      <c r="E171" s="52">
        <v>0.02</v>
      </c>
      <c r="F171" s="34">
        <v>0</v>
      </c>
      <c r="G171" s="34">
        <v>0</v>
      </c>
      <c r="H171" s="34">
        <v>104254</v>
      </c>
      <c r="I171" s="6">
        <v>2085</v>
      </c>
      <c r="J171" s="34">
        <v>0</v>
      </c>
      <c r="K171" s="34">
        <v>0</v>
      </c>
      <c r="L171" s="38">
        <v>104254</v>
      </c>
      <c r="M171" s="6">
        <v>2085</v>
      </c>
      <c r="N171" s="33"/>
    </row>
    <row r="172" spans="1:15" s="35" customFormat="1" ht="15" customHeight="1">
      <c r="A172" s="57"/>
      <c r="B172" s="57" t="s">
        <v>55</v>
      </c>
      <c r="C172" s="57" t="s">
        <v>61</v>
      </c>
      <c r="D172" s="40" t="s">
        <v>218</v>
      </c>
      <c r="E172" s="52">
        <v>8.1000000000000003E-2</v>
      </c>
      <c r="F172" s="34">
        <v>0</v>
      </c>
      <c r="G172" s="34">
        <v>0</v>
      </c>
      <c r="H172" s="34">
        <v>87805</v>
      </c>
      <c r="I172" s="6">
        <v>7112.2</v>
      </c>
      <c r="J172" s="34">
        <v>0</v>
      </c>
      <c r="K172" s="34">
        <v>0</v>
      </c>
      <c r="L172" s="38">
        <v>87805</v>
      </c>
      <c r="M172" s="6">
        <v>7112.2</v>
      </c>
      <c r="N172" s="33"/>
    </row>
    <row r="173" spans="1:15" s="35" customFormat="1" ht="15" customHeight="1">
      <c r="A173" s="57"/>
      <c r="B173" s="57" t="s">
        <v>71</v>
      </c>
      <c r="C173" s="57" t="s">
        <v>302</v>
      </c>
      <c r="D173" s="40" t="s">
        <v>58</v>
      </c>
      <c r="E173" s="52">
        <v>1</v>
      </c>
      <c r="F173" s="34">
        <v>684.89</v>
      </c>
      <c r="G173" s="34">
        <v>684.8</v>
      </c>
      <c r="H173" s="34">
        <v>0</v>
      </c>
      <c r="I173" s="6">
        <v>0</v>
      </c>
      <c r="J173" s="34">
        <v>0</v>
      </c>
      <c r="K173" s="34">
        <v>0</v>
      </c>
      <c r="L173" s="38">
        <v>684.8</v>
      </c>
      <c r="M173" s="6">
        <v>684.8</v>
      </c>
      <c r="N173" s="33"/>
    </row>
    <row r="174" spans="1:15" ht="15" customHeight="1">
      <c r="A174" s="48"/>
      <c r="B174" s="46" t="s">
        <v>151</v>
      </c>
      <c r="C174" s="46"/>
      <c r="D174" s="41" t="s">
        <v>56</v>
      </c>
      <c r="E174" s="75"/>
      <c r="F174" s="17"/>
      <c r="G174" s="17">
        <v>12451</v>
      </c>
      <c r="H174" s="17"/>
      <c r="I174" s="17">
        <v>29941</v>
      </c>
      <c r="J174" s="17"/>
      <c r="K174" s="17">
        <v>0</v>
      </c>
      <c r="L174" s="36"/>
      <c r="M174" s="17">
        <v>42392</v>
      </c>
      <c r="N174" s="2"/>
      <c r="O174" s="91" t="str">
        <f>A167</f>
        <v>일위14호</v>
      </c>
    </row>
    <row r="175" spans="1:15" s="35" customFormat="1" ht="15" customHeight="1">
      <c r="A175" s="58" t="s">
        <v>306</v>
      </c>
      <c r="B175" s="58" t="s">
        <v>307</v>
      </c>
      <c r="C175" s="57"/>
      <c r="D175" s="40"/>
      <c r="E175" s="52"/>
      <c r="F175" s="34"/>
      <c r="G175" s="34"/>
      <c r="H175" s="34"/>
      <c r="I175" s="34"/>
      <c r="J175" s="34"/>
      <c r="K175" s="34"/>
      <c r="L175" s="34"/>
      <c r="M175" s="34"/>
      <c r="N175" s="33"/>
    </row>
    <row r="176" spans="1:15" s="35" customFormat="1" ht="15" customHeight="1">
      <c r="A176" s="57"/>
      <c r="B176" s="57" t="s">
        <v>92</v>
      </c>
      <c r="C176" s="57" t="s">
        <v>303</v>
      </c>
      <c r="D176" s="40" t="s">
        <v>50</v>
      </c>
      <c r="E176" s="52">
        <v>1.03</v>
      </c>
      <c r="F176" s="34">
        <v>12600</v>
      </c>
      <c r="G176" s="34">
        <v>12978</v>
      </c>
      <c r="H176" s="34">
        <v>0</v>
      </c>
      <c r="I176" s="6">
        <v>0</v>
      </c>
      <c r="J176" s="34">
        <v>0</v>
      </c>
      <c r="K176" s="34">
        <v>0</v>
      </c>
      <c r="L176" s="38">
        <v>12600</v>
      </c>
      <c r="M176" s="6">
        <v>12978</v>
      </c>
      <c r="N176" s="33"/>
    </row>
    <row r="177" spans="1:15" s="35" customFormat="1" ht="15" customHeight="1">
      <c r="A177" s="57"/>
      <c r="B177" s="57" t="s">
        <v>300</v>
      </c>
      <c r="C177" s="57" t="s">
        <v>304</v>
      </c>
      <c r="D177" s="40" t="s">
        <v>227</v>
      </c>
      <c r="E177" s="52">
        <v>5.76</v>
      </c>
      <c r="F177" s="34">
        <v>184</v>
      </c>
      <c r="G177" s="34">
        <v>1059.8</v>
      </c>
      <c r="H177" s="34">
        <v>0</v>
      </c>
      <c r="I177" s="6">
        <v>0</v>
      </c>
      <c r="J177" s="34">
        <v>0</v>
      </c>
      <c r="K177" s="34">
        <v>0</v>
      </c>
      <c r="L177" s="38">
        <v>184</v>
      </c>
      <c r="M177" s="6">
        <v>1059.8</v>
      </c>
      <c r="N177" s="33"/>
    </row>
    <row r="178" spans="1:15" s="35" customFormat="1" ht="15" customHeight="1">
      <c r="A178" s="57"/>
      <c r="B178" s="57" t="s">
        <v>55</v>
      </c>
      <c r="C178" s="57" t="s">
        <v>222</v>
      </c>
      <c r="D178" s="40" t="s">
        <v>218</v>
      </c>
      <c r="E178" s="52">
        <v>0.122</v>
      </c>
      <c r="F178" s="34">
        <v>0</v>
      </c>
      <c r="G178" s="34">
        <v>0</v>
      </c>
      <c r="H178" s="34">
        <v>133837</v>
      </c>
      <c r="I178" s="6">
        <v>16328.1</v>
      </c>
      <c r="J178" s="34">
        <v>0</v>
      </c>
      <c r="K178" s="34">
        <v>0</v>
      </c>
      <c r="L178" s="38">
        <v>133837</v>
      </c>
      <c r="M178" s="6">
        <v>16328.1</v>
      </c>
      <c r="N178" s="33"/>
    </row>
    <row r="179" spans="1:15" s="35" customFormat="1" ht="15" customHeight="1">
      <c r="A179" s="57"/>
      <c r="B179" s="57" t="s">
        <v>55</v>
      </c>
      <c r="C179" s="57" t="s">
        <v>216</v>
      </c>
      <c r="D179" s="40" t="s">
        <v>218</v>
      </c>
      <c r="E179" s="52">
        <v>1.6E-2</v>
      </c>
      <c r="F179" s="34">
        <v>0</v>
      </c>
      <c r="G179" s="34">
        <v>0</v>
      </c>
      <c r="H179" s="34">
        <v>104254</v>
      </c>
      <c r="I179" s="6">
        <v>1668</v>
      </c>
      <c r="J179" s="34">
        <v>0</v>
      </c>
      <c r="K179" s="34">
        <v>0</v>
      </c>
      <c r="L179" s="38">
        <v>104254</v>
      </c>
      <c r="M179" s="6">
        <v>1668</v>
      </c>
      <c r="N179" s="33"/>
    </row>
    <row r="180" spans="1:15" s="35" customFormat="1" ht="15" customHeight="1">
      <c r="A180" s="57"/>
      <c r="B180" s="57" t="s">
        <v>55</v>
      </c>
      <c r="C180" s="57" t="s">
        <v>61</v>
      </c>
      <c r="D180" s="40" t="s">
        <v>218</v>
      </c>
      <c r="E180" s="52">
        <v>4.3999999999999997E-2</v>
      </c>
      <c r="F180" s="34">
        <v>0</v>
      </c>
      <c r="G180" s="34">
        <v>0</v>
      </c>
      <c r="H180" s="34">
        <v>87805</v>
      </c>
      <c r="I180" s="6">
        <v>3863.4</v>
      </c>
      <c r="J180" s="34">
        <v>0</v>
      </c>
      <c r="K180" s="34">
        <v>0</v>
      </c>
      <c r="L180" s="38">
        <v>87805</v>
      </c>
      <c r="M180" s="6">
        <v>3863.4</v>
      </c>
      <c r="N180" s="33"/>
    </row>
    <row r="181" spans="1:15" s="35" customFormat="1" ht="15" customHeight="1">
      <c r="A181" s="57"/>
      <c r="B181" s="57" t="s">
        <v>71</v>
      </c>
      <c r="C181" s="57" t="s">
        <v>305</v>
      </c>
      <c r="D181" s="40" t="s">
        <v>58</v>
      </c>
      <c r="E181" s="52">
        <v>1</v>
      </c>
      <c r="F181" s="34">
        <v>655.78</v>
      </c>
      <c r="G181" s="34">
        <v>655.7</v>
      </c>
      <c r="H181" s="34">
        <v>0</v>
      </c>
      <c r="I181" s="6">
        <v>0</v>
      </c>
      <c r="J181" s="34">
        <v>0</v>
      </c>
      <c r="K181" s="34">
        <v>0</v>
      </c>
      <c r="L181" s="38">
        <v>655.7</v>
      </c>
      <c r="M181" s="6">
        <v>655.7</v>
      </c>
      <c r="N181" s="33"/>
    </row>
    <row r="182" spans="1:15" ht="15" customHeight="1">
      <c r="A182" s="48"/>
      <c r="B182" s="46" t="s">
        <v>151</v>
      </c>
      <c r="C182" s="46"/>
      <c r="D182" s="41" t="s">
        <v>56</v>
      </c>
      <c r="E182" s="75"/>
      <c r="F182" s="17"/>
      <c r="G182" s="17">
        <v>14693</v>
      </c>
      <c r="H182" s="17"/>
      <c r="I182" s="17">
        <v>21859</v>
      </c>
      <c r="J182" s="17"/>
      <c r="K182" s="17">
        <v>0</v>
      </c>
      <c r="L182" s="36"/>
      <c r="M182" s="17">
        <v>36552</v>
      </c>
      <c r="N182" s="2"/>
      <c r="O182" s="91" t="str">
        <f>A175</f>
        <v>일위15호</v>
      </c>
    </row>
    <row r="183" spans="1:15" s="35" customFormat="1" ht="15" customHeight="1">
      <c r="A183" s="44" t="s">
        <v>69</v>
      </c>
      <c r="B183" s="44" t="s">
        <v>104</v>
      </c>
      <c r="C183" s="37" t="s">
        <v>199</v>
      </c>
      <c r="D183" s="40" t="s">
        <v>217</v>
      </c>
      <c r="E183" s="52"/>
      <c r="F183" s="34"/>
      <c r="G183" s="34"/>
      <c r="H183" s="34"/>
      <c r="I183" s="34"/>
      <c r="J183" s="34"/>
      <c r="K183" s="34"/>
      <c r="L183" s="34"/>
      <c r="M183" s="34"/>
      <c r="N183" s="33" t="s">
        <v>157</v>
      </c>
    </row>
    <row r="184" spans="1:15" s="35" customFormat="1" ht="15" customHeight="1">
      <c r="A184" s="44"/>
      <c r="B184" s="37" t="s">
        <v>208</v>
      </c>
      <c r="C184" s="37"/>
      <c r="D184" s="40" t="s">
        <v>218</v>
      </c>
      <c r="E184" s="54">
        <v>0.747</v>
      </c>
      <c r="F184" s="34"/>
      <c r="G184" s="34"/>
      <c r="H184" s="34">
        <v>116013</v>
      </c>
      <c r="I184" s="34">
        <v>86661.710999999996</v>
      </c>
      <c r="J184" s="34"/>
      <c r="K184" s="34"/>
      <c r="L184" s="38">
        <f>SUM(F184,H184,J184)</f>
        <v>116013</v>
      </c>
      <c r="M184" s="6">
        <f>SUM(G184,I184,K184)</f>
        <v>86661.710999999996</v>
      </c>
      <c r="N184" s="33"/>
    </row>
    <row r="185" spans="1:15" s="35" customFormat="1" ht="15" customHeight="1">
      <c r="A185" s="44"/>
      <c r="B185" s="37" t="s">
        <v>61</v>
      </c>
      <c r="C185" s="37"/>
      <c r="D185" s="40" t="s">
        <v>218</v>
      </c>
      <c r="E185" s="52">
        <v>0.24099999999999999</v>
      </c>
      <c r="F185" s="34"/>
      <c r="G185" s="34"/>
      <c r="H185" s="34">
        <v>89566</v>
      </c>
      <c r="I185" s="34">
        <v>21585.405999999999</v>
      </c>
      <c r="J185" s="34"/>
      <c r="K185" s="34"/>
      <c r="L185" s="38">
        <f>SUM(F185,H185,J185)</f>
        <v>89566</v>
      </c>
      <c r="M185" s="6">
        <f>SUM(G185,I185,K185)</f>
        <v>21585.405999999999</v>
      </c>
      <c r="N185" s="33"/>
    </row>
    <row r="186" spans="1:15" ht="15" customHeight="1">
      <c r="A186" s="48"/>
      <c r="B186" s="49" t="s">
        <v>151</v>
      </c>
      <c r="C186" s="46" t="s">
        <v>56</v>
      </c>
      <c r="D186" s="41" t="s">
        <v>56</v>
      </c>
      <c r="E186" s="53"/>
      <c r="F186" s="7"/>
      <c r="G186" s="7">
        <f>SUM(G183:G185)</f>
        <v>0</v>
      </c>
      <c r="H186" s="7"/>
      <c r="I186" s="7">
        <f>SUM(I183:I185)</f>
        <v>108247.117</v>
      </c>
      <c r="J186" s="7"/>
      <c r="K186" s="7">
        <f>SUM(K183:K185)</f>
        <v>0</v>
      </c>
      <c r="L186" s="36">
        <f>SUM(F186,H186,J186)</f>
        <v>0</v>
      </c>
      <c r="M186" s="7">
        <f>SUM(M183:M185)</f>
        <v>108247.117</v>
      </c>
      <c r="N186" s="2"/>
      <c r="O186" t="str">
        <f>A183</f>
        <v>일위16호</v>
      </c>
    </row>
    <row r="187" spans="1:15" s="35" customFormat="1" ht="15" customHeight="1">
      <c r="A187" s="44" t="s">
        <v>70</v>
      </c>
      <c r="B187" s="44" t="s">
        <v>104</v>
      </c>
      <c r="C187" s="37" t="s">
        <v>206</v>
      </c>
      <c r="D187" s="40" t="s">
        <v>217</v>
      </c>
      <c r="E187" s="52"/>
      <c r="F187" s="34"/>
      <c r="G187" s="34"/>
      <c r="H187" s="34"/>
      <c r="I187" s="34"/>
      <c r="J187" s="34"/>
      <c r="K187" s="34"/>
      <c r="L187" s="34"/>
      <c r="M187" s="34"/>
      <c r="N187" s="33" t="s">
        <v>157</v>
      </c>
    </row>
    <row r="188" spans="1:15" s="35" customFormat="1" ht="15" customHeight="1">
      <c r="A188" s="45"/>
      <c r="B188" s="45" t="s">
        <v>208</v>
      </c>
      <c r="C188" s="45"/>
      <c r="D188" s="40" t="s">
        <v>218</v>
      </c>
      <c r="E188" s="52">
        <v>0.69</v>
      </c>
      <c r="F188" s="34"/>
      <c r="G188" s="34"/>
      <c r="H188" s="34">
        <v>116013</v>
      </c>
      <c r="I188" s="34">
        <v>80048.969999999987</v>
      </c>
      <c r="J188" s="34"/>
      <c r="K188" s="34"/>
      <c r="L188" s="38">
        <f>SUM(F188,H188,J188)</f>
        <v>116013</v>
      </c>
      <c r="M188" s="6">
        <f>SUM(G188,I188,K188)</f>
        <v>80048.969999999987</v>
      </c>
      <c r="N188" s="33"/>
    </row>
    <row r="189" spans="1:15" s="35" customFormat="1" ht="15" customHeight="1">
      <c r="A189" s="45"/>
      <c r="B189" s="45" t="s">
        <v>61</v>
      </c>
      <c r="C189" s="45"/>
      <c r="D189" s="40" t="s">
        <v>218</v>
      </c>
      <c r="E189" s="52">
        <v>0.2</v>
      </c>
      <c r="F189" s="34"/>
      <c r="G189" s="34"/>
      <c r="H189" s="34">
        <v>89566</v>
      </c>
      <c r="I189" s="34">
        <v>17913.2</v>
      </c>
      <c r="J189" s="34"/>
      <c r="K189" s="34"/>
      <c r="L189" s="38">
        <f>SUM(F189,H189,J189)</f>
        <v>89566</v>
      </c>
      <c r="M189" s="6">
        <f>SUM(G189,I189,K189)</f>
        <v>17913.2</v>
      </c>
      <c r="N189" s="33"/>
    </row>
    <row r="190" spans="1:15" ht="15" customHeight="1">
      <c r="A190" s="48"/>
      <c r="B190" s="49" t="s">
        <v>151</v>
      </c>
      <c r="C190" s="46" t="s">
        <v>56</v>
      </c>
      <c r="D190" s="41" t="s">
        <v>56</v>
      </c>
      <c r="E190" s="53"/>
      <c r="F190" s="7">
        <f>SUM(F188:F189)</f>
        <v>0</v>
      </c>
      <c r="G190" s="7">
        <f>SUM(G187:G189)</f>
        <v>0</v>
      </c>
      <c r="H190" s="7"/>
      <c r="I190" s="7">
        <f>SUM(I187:I189)</f>
        <v>97962.169999999984</v>
      </c>
      <c r="J190" s="7">
        <f>SUM(J188:J189)</f>
        <v>0</v>
      </c>
      <c r="K190" s="7">
        <f>SUM(K187:K189)</f>
        <v>0</v>
      </c>
      <c r="L190" s="36">
        <f>SUM(F190,H190,J190)</f>
        <v>0</v>
      </c>
      <c r="M190" s="7">
        <f>SUM(M187:M189)</f>
        <v>97962.169999999984</v>
      </c>
      <c r="N190" s="2"/>
      <c r="O190" t="str">
        <f>A187</f>
        <v>일위17호</v>
      </c>
    </row>
    <row r="191" spans="1:15" s="35" customFormat="1" ht="15" customHeight="1">
      <c r="A191" s="44" t="s">
        <v>76</v>
      </c>
      <c r="B191" s="44" t="s">
        <v>107</v>
      </c>
      <c r="C191" s="37" t="s">
        <v>276</v>
      </c>
      <c r="D191" s="40" t="s">
        <v>212</v>
      </c>
      <c r="E191" s="52"/>
      <c r="F191" s="34"/>
      <c r="G191" s="34"/>
      <c r="H191" s="34"/>
      <c r="I191" s="34"/>
      <c r="J191" s="34"/>
      <c r="K191" s="34"/>
      <c r="L191" s="34"/>
      <c r="M191" s="34"/>
      <c r="N191" s="33" t="s">
        <v>56</v>
      </c>
    </row>
    <row r="192" spans="1:15" s="35" customFormat="1" ht="15" customHeight="1">
      <c r="A192" s="44"/>
      <c r="B192" s="37" t="s">
        <v>207</v>
      </c>
      <c r="C192" s="37" t="s">
        <v>67</v>
      </c>
      <c r="D192" s="40" t="s">
        <v>200</v>
      </c>
      <c r="E192" s="52">
        <v>0.14580000000000001</v>
      </c>
      <c r="F192" s="34">
        <v>2450</v>
      </c>
      <c r="G192" s="34">
        <v>357.21000000000004</v>
      </c>
      <c r="H192" s="34"/>
      <c r="I192" s="34">
        <v>0</v>
      </c>
      <c r="J192" s="34"/>
      <c r="K192" s="34">
        <v>0</v>
      </c>
      <c r="L192" s="38">
        <f t="shared" ref="L192:M194" si="10">SUM(F192,H192,J192)</f>
        <v>2450</v>
      </c>
      <c r="M192" s="6">
        <f t="shared" si="10"/>
        <v>357.21000000000004</v>
      </c>
      <c r="N192" s="33" t="s">
        <v>56</v>
      </c>
    </row>
    <row r="193" spans="1:15" s="35" customFormat="1" ht="15" customHeight="1">
      <c r="A193" s="44"/>
      <c r="B193" s="37" t="s">
        <v>232</v>
      </c>
      <c r="C193" s="37" t="s">
        <v>56</v>
      </c>
      <c r="D193" s="40" t="s">
        <v>218</v>
      </c>
      <c r="E193" s="52">
        <v>5.9399999999999994E-2</v>
      </c>
      <c r="F193" s="34"/>
      <c r="G193" s="34">
        <v>0</v>
      </c>
      <c r="H193" s="34">
        <v>129263</v>
      </c>
      <c r="I193" s="6">
        <f>E193*H193</f>
        <v>7678.2221999999992</v>
      </c>
      <c r="J193" s="34"/>
      <c r="K193" s="34">
        <v>0</v>
      </c>
      <c r="L193" s="38">
        <f t="shared" si="10"/>
        <v>129263</v>
      </c>
      <c r="M193" s="6">
        <f t="shared" si="10"/>
        <v>7678.2221999999992</v>
      </c>
      <c r="N193" s="33" t="s">
        <v>56</v>
      </c>
    </row>
    <row r="194" spans="1:15" s="35" customFormat="1" ht="15" customHeight="1">
      <c r="A194" s="44"/>
      <c r="B194" s="37" t="s">
        <v>119</v>
      </c>
      <c r="C194" s="37" t="s">
        <v>281</v>
      </c>
      <c r="D194" s="40" t="s">
        <v>228</v>
      </c>
      <c r="E194" s="52">
        <v>3</v>
      </c>
      <c r="F194" s="34">
        <v>2448</v>
      </c>
      <c r="G194" s="34">
        <v>7344</v>
      </c>
      <c r="H194" s="34">
        <v>3088</v>
      </c>
      <c r="I194" s="34">
        <v>9264</v>
      </c>
      <c r="J194" s="34">
        <v>7</v>
      </c>
      <c r="K194" s="34">
        <v>21</v>
      </c>
      <c r="L194" s="38">
        <f t="shared" si="10"/>
        <v>5543</v>
      </c>
      <c r="M194" s="6">
        <f t="shared" si="10"/>
        <v>16629</v>
      </c>
      <c r="N194" s="33" t="s">
        <v>85</v>
      </c>
    </row>
    <row r="195" spans="1:15" ht="15" customHeight="1">
      <c r="A195" s="48"/>
      <c r="B195" s="49" t="s">
        <v>151</v>
      </c>
      <c r="C195" s="46" t="s">
        <v>56</v>
      </c>
      <c r="D195" s="41" t="s">
        <v>56</v>
      </c>
      <c r="E195" s="53"/>
      <c r="F195" s="7"/>
      <c r="G195" s="7">
        <f>SUM(G191:G194)</f>
        <v>7701.21</v>
      </c>
      <c r="H195" s="7"/>
      <c r="I195" s="7">
        <f>SUM(I191:I194)</f>
        <v>16942.2222</v>
      </c>
      <c r="J195" s="7"/>
      <c r="K195" s="7">
        <f>SUM(K191:K194)</f>
        <v>21</v>
      </c>
      <c r="L195" s="36">
        <f>SUM(F195,H195,J195)</f>
        <v>0</v>
      </c>
      <c r="M195" s="7">
        <f>SUM(M191:M194)</f>
        <v>24664.432199999999</v>
      </c>
      <c r="N195" s="2"/>
      <c r="O195" t="str">
        <f>A191</f>
        <v>일위18호</v>
      </c>
    </row>
    <row r="196" spans="1:15" s="35" customFormat="1" ht="15" customHeight="1">
      <c r="A196" s="44" t="s">
        <v>85</v>
      </c>
      <c r="B196" s="44" t="s">
        <v>119</v>
      </c>
      <c r="C196" s="37" t="s">
        <v>281</v>
      </c>
      <c r="D196" s="40" t="s">
        <v>228</v>
      </c>
      <c r="E196" s="52"/>
      <c r="F196" s="34"/>
      <c r="G196" s="34"/>
      <c r="H196" s="34"/>
      <c r="I196" s="34"/>
      <c r="J196" s="34"/>
      <c r="K196" s="34"/>
      <c r="L196" s="34"/>
      <c r="M196" s="34"/>
      <c r="N196" s="33" t="s">
        <v>56</v>
      </c>
    </row>
    <row r="197" spans="1:15" s="35" customFormat="1" ht="15" customHeight="1">
      <c r="A197" s="44"/>
      <c r="B197" s="37" t="s">
        <v>275</v>
      </c>
      <c r="C197" s="37" t="s">
        <v>285</v>
      </c>
      <c r="D197" s="40" t="s">
        <v>200</v>
      </c>
      <c r="E197" s="52">
        <v>0.65410000000000001</v>
      </c>
      <c r="F197" s="34">
        <v>3380</v>
      </c>
      <c r="G197" s="34">
        <v>2210.8580000000002</v>
      </c>
      <c r="H197" s="34"/>
      <c r="I197" s="34">
        <v>0</v>
      </c>
      <c r="J197" s="34"/>
      <c r="K197" s="34">
        <v>0</v>
      </c>
      <c r="L197" s="38">
        <f>SUM(F197,H197,J197)</f>
        <v>3380</v>
      </c>
      <c r="M197" s="6">
        <f>SUM(G197,I197,K197)</f>
        <v>2210.8580000000002</v>
      </c>
      <c r="N197" s="33" t="s">
        <v>56</v>
      </c>
    </row>
    <row r="198" spans="1:15" s="35" customFormat="1" ht="15" customHeight="1">
      <c r="A198" s="44"/>
      <c r="B198" s="37" t="s">
        <v>189</v>
      </c>
      <c r="C198" s="37" t="s">
        <v>205</v>
      </c>
      <c r="D198" s="40" t="s">
        <v>200</v>
      </c>
      <c r="E198" s="52">
        <v>0.59470000000000001</v>
      </c>
      <c r="F198" s="34">
        <v>399</v>
      </c>
      <c r="G198" s="34">
        <v>237.28530000000001</v>
      </c>
      <c r="H198" s="34">
        <v>5194</v>
      </c>
      <c r="I198" s="34">
        <v>3088.8717999999999</v>
      </c>
      <c r="J198" s="34">
        <v>12</v>
      </c>
      <c r="K198" s="34">
        <v>7.1364000000000001</v>
      </c>
      <c r="L198" s="38">
        <f>SUM(F198,H198,J198)</f>
        <v>5605</v>
      </c>
      <c r="M198" s="6">
        <f>SUM(G198,I198,K198)</f>
        <v>3333.2934999999998</v>
      </c>
      <c r="N198" s="33" t="s">
        <v>65</v>
      </c>
    </row>
    <row r="199" spans="1:15" ht="15" customHeight="1">
      <c r="A199" s="48"/>
      <c r="B199" s="49" t="s">
        <v>151</v>
      </c>
      <c r="C199" s="46" t="s">
        <v>56</v>
      </c>
      <c r="D199" s="41" t="s">
        <v>56</v>
      </c>
      <c r="E199" s="53"/>
      <c r="F199" s="7"/>
      <c r="G199" s="7">
        <f>SUM(G196:G198)</f>
        <v>2448.1433000000002</v>
      </c>
      <c r="H199" s="7"/>
      <c r="I199" s="7">
        <f>SUM(I196:I198)</f>
        <v>3088.8717999999999</v>
      </c>
      <c r="J199" s="7"/>
      <c r="K199" s="7">
        <f>SUM(K196:K198)</f>
        <v>7.1364000000000001</v>
      </c>
      <c r="L199" s="36"/>
      <c r="M199" s="7">
        <f>SUM(M196:M198)</f>
        <v>5544.1514999999999</v>
      </c>
      <c r="N199" s="2"/>
      <c r="O199" t="str">
        <f>A196</f>
        <v>일위19호</v>
      </c>
    </row>
    <row r="200" spans="1:15" s="35" customFormat="1" ht="15" customHeight="1">
      <c r="A200" s="44" t="s">
        <v>65</v>
      </c>
      <c r="B200" s="44" t="s">
        <v>189</v>
      </c>
      <c r="C200" s="37" t="s">
        <v>205</v>
      </c>
      <c r="D200" s="40" t="s">
        <v>200</v>
      </c>
      <c r="E200" s="52"/>
      <c r="F200" s="34"/>
      <c r="G200" s="34"/>
      <c r="H200" s="34"/>
      <c r="I200" s="34"/>
      <c r="J200" s="34"/>
      <c r="K200" s="34"/>
      <c r="L200" s="34"/>
      <c r="M200" s="34"/>
      <c r="N200" s="33" t="s">
        <v>118</v>
      </c>
    </row>
    <row r="201" spans="1:15" s="35" customFormat="1" ht="15" customHeight="1">
      <c r="A201" s="71"/>
      <c r="B201" s="72"/>
      <c r="C201" s="37" t="s">
        <v>213</v>
      </c>
      <c r="D201" s="40" t="s">
        <v>200</v>
      </c>
      <c r="E201" s="52">
        <v>1.2</v>
      </c>
      <c r="F201" s="34">
        <v>333</v>
      </c>
      <c r="G201" s="34">
        <v>399.59999999999997</v>
      </c>
      <c r="H201" s="34">
        <v>4329</v>
      </c>
      <c r="I201" s="34">
        <v>5194.8</v>
      </c>
      <c r="J201" s="34">
        <v>10</v>
      </c>
      <c r="K201" s="34">
        <v>12</v>
      </c>
      <c r="L201" s="34">
        <v>4672</v>
      </c>
      <c r="M201" s="34">
        <v>5606.4000000000005</v>
      </c>
      <c r="N201" s="33" t="s">
        <v>79</v>
      </c>
    </row>
    <row r="202" spans="1:15" ht="15" customHeight="1">
      <c r="A202" s="48"/>
      <c r="B202" s="49" t="s">
        <v>151</v>
      </c>
      <c r="C202" s="46" t="s">
        <v>56</v>
      </c>
      <c r="D202" s="41" t="s">
        <v>56</v>
      </c>
      <c r="E202" s="53"/>
      <c r="F202" s="7"/>
      <c r="G202" s="7">
        <f>SUM(G200:G200)</f>
        <v>0</v>
      </c>
      <c r="H202" s="7"/>
      <c r="I202" s="7">
        <f>SUM(I200:I200)</f>
        <v>0</v>
      </c>
      <c r="J202" s="7"/>
      <c r="K202" s="7">
        <f>SUM(K200:K200)</f>
        <v>0</v>
      </c>
      <c r="L202" s="36"/>
      <c r="M202" s="7">
        <f>SUM(M200:M200)</f>
        <v>0</v>
      </c>
      <c r="N202" s="2"/>
      <c r="O202" t="str">
        <f>A200</f>
        <v>일위20호</v>
      </c>
    </row>
    <row r="203" spans="1:15" s="35" customFormat="1" ht="15" customHeight="1">
      <c r="A203" s="44" t="s">
        <v>79</v>
      </c>
      <c r="B203" s="44" t="s">
        <v>189</v>
      </c>
      <c r="C203" s="37" t="s">
        <v>213</v>
      </c>
      <c r="D203" s="40" t="s">
        <v>200</v>
      </c>
      <c r="E203" s="52"/>
      <c r="F203" s="34"/>
      <c r="G203" s="34"/>
      <c r="H203" s="34"/>
      <c r="I203" s="34"/>
      <c r="J203" s="34"/>
      <c r="K203" s="34"/>
      <c r="L203" s="34"/>
      <c r="M203" s="34"/>
      <c r="N203" s="33" t="s">
        <v>118</v>
      </c>
    </row>
    <row r="204" spans="1:15" s="35" customFormat="1" ht="15" customHeight="1">
      <c r="A204" s="44"/>
      <c r="B204" s="37" t="s">
        <v>288</v>
      </c>
      <c r="C204" s="37" t="s">
        <v>273</v>
      </c>
      <c r="D204" s="40" t="s">
        <v>200</v>
      </c>
      <c r="E204" s="52">
        <v>1.848E-2</v>
      </c>
      <c r="F204" s="34">
        <v>8880</v>
      </c>
      <c r="G204" s="34">
        <v>164.10239999999999</v>
      </c>
      <c r="H204" s="34"/>
      <c r="I204" s="34">
        <v>0</v>
      </c>
      <c r="J204" s="34"/>
      <c r="K204" s="34">
        <v>0</v>
      </c>
      <c r="L204" s="38">
        <f t="shared" ref="L204:L213" si="11">SUM(F204,H204,J204)</f>
        <v>8880</v>
      </c>
      <c r="M204" s="6">
        <f t="shared" ref="M204:M213" si="12">SUM(G204,I204,K204)</f>
        <v>164.10239999999999</v>
      </c>
      <c r="N204" s="33" t="s">
        <v>56</v>
      </c>
    </row>
    <row r="205" spans="1:15" s="35" customFormat="1" ht="15" customHeight="1">
      <c r="A205" s="44"/>
      <c r="B205" s="37" t="s">
        <v>204</v>
      </c>
      <c r="C205" s="37" t="s">
        <v>91</v>
      </c>
      <c r="D205" s="40" t="s">
        <v>211</v>
      </c>
      <c r="E205" s="52">
        <v>6.3</v>
      </c>
      <c r="F205" s="34">
        <v>2</v>
      </c>
      <c r="G205" s="34">
        <v>12.6</v>
      </c>
      <c r="H205" s="34"/>
      <c r="I205" s="34">
        <v>0</v>
      </c>
      <c r="J205" s="34"/>
      <c r="K205" s="34">
        <v>0</v>
      </c>
      <c r="L205" s="38">
        <f t="shared" si="11"/>
        <v>2</v>
      </c>
      <c r="M205" s="6">
        <f t="shared" si="12"/>
        <v>12.6</v>
      </c>
      <c r="N205" s="33" t="s">
        <v>56</v>
      </c>
    </row>
    <row r="206" spans="1:15" s="35" customFormat="1" ht="15" customHeight="1">
      <c r="A206" s="44"/>
      <c r="B206" s="37" t="s">
        <v>98</v>
      </c>
      <c r="C206" s="37" t="s">
        <v>56</v>
      </c>
      <c r="D206" s="40" t="s">
        <v>200</v>
      </c>
      <c r="E206" s="52">
        <v>2.7999999999999995E-3</v>
      </c>
      <c r="F206" s="34">
        <v>9500</v>
      </c>
      <c r="G206" s="34">
        <v>26.599999999999994</v>
      </c>
      <c r="H206" s="34"/>
      <c r="I206" s="34">
        <v>0</v>
      </c>
      <c r="J206" s="34"/>
      <c r="K206" s="34">
        <v>0</v>
      </c>
      <c r="L206" s="38">
        <f t="shared" si="11"/>
        <v>9500</v>
      </c>
      <c r="M206" s="6">
        <f t="shared" si="12"/>
        <v>26.599999999999994</v>
      </c>
      <c r="N206" s="33" t="s">
        <v>95</v>
      </c>
    </row>
    <row r="207" spans="1:15" s="35" customFormat="1" ht="15" customHeight="1">
      <c r="A207" s="44"/>
      <c r="B207" s="37" t="s">
        <v>201</v>
      </c>
      <c r="C207" s="37" t="s">
        <v>56</v>
      </c>
      <c r="D207" s="40" t="s">
        <v>218</v>
      </c>
      <c r="E207" s="52">
        <v>2.7650000000000001E-2</v>
      </c>
      <c r="F207" s="34"/>
      <c r="G207" s="34">
        <v>0</v>
      </c>
      <c r="H207" s="34">
        <v>138413</v>
      </c>
      <c r="I207" s="6">
        <f t="shared" ref="I207:I213" si="13">E207*H207</f>
        <v>3827.1194500000001</v>
      </c>
      <c r="J207" s="34"/>
      <c r="K207" s="34">
        <v>0</v>
      </c>
      <c r="L207" s="38">
        <f t="shared" si="11"/>
        <v>138413</v>
      </c>
      <c r="M207" s="6">
        <f t="shared" si="12"/>
        <v>3827.1194500000001</v>
      </c>
      <c r="N207" s="33" t="s">
        <v>56</v>
      </c>
    </row>
    <row r="208" spans="1:15" s="35" customFormat="1" ht="15" customHeight="1">
      <c r="A208" s="44"/>
      <c r="B208" s="37" t="s">
        <v>61</v>
      </c>
      <c r="C208" s="37" t="s">
        <v>56</v>
      </c>
      <c r="D208" s="40" t="s">
        <v>218</v>
      </c>
      <c r="E208" s="52">
        <v>6.6E-4</v>
      </c>
      <c r="F208" s="34"/>
      <c r="G208" s="34">
        <v>0</v>
      </c>
      <c r="H208" s="34">
        <v>89566</v>
      </c>
      <c r="I208" s="6">
        <f t="shared" si="13"/>
        <v>59.11356</v>
      </c>
      <c r="J208" s="34"/>
      <c r="K208" s="34">
        <v>0</v>
      </c>
      <c r="L208" s="38">
        <f t="shared" si="11"/>
        <v>89566</v>
      </c>
      <c r="M208" s="6">
        <f t="shared" si="12"/>
        <v>59.11356</v>
      </c>
      <c r="N208" s="33" t="s">
        <v>56</v>
      </c>
    </row>
    <row r="209" spans="1:15" s="35" customFormat="1" ht="15" customHeight="1">
      <c r="A209" s="44"/>
      <c r="B209" s="37" t="s">
        <v>198</v>
      </c>
      <c r="C209" s="37" t="s">
        <v>56</v>
      </c>
      <c r="D209" s="40" t="s">
        <v>218</v>
      </c>
      <c r="E209" s="52">
        <v>2.6000000000000003E-3</v>
      </c>
      <c r="F209" s="34"/>
      <c r="G209" s="34">
        <v>0</v>
      </c>
      <c r="H209" s="34">
        <v>138252</v>
      </c>
      <c r="I209" s="6">
        <f t="shared" si="13"/>
        <v>359.45520000000005</v>
      </c>
      <c r="J209" s="34"/>
      <c r="K209" s="34">
        <v>0</v>
      </c>
      <c r="L209" s="38">
        <f t="shared" si="11"/>
        <v>138252</v>
      </c>
      <c r="M209" s="6">
        <f t="shared" si="12"/>
        <v>359.45520000000005</v>
      </c>
      <c r="N209" s="33" t="s">
        <v>101</v>
      </c>
    </row>
    <row r="210" spans="1:15" s="35" customFormat="1" ht="15" customHeight="1">
      <c r="A210" s="44"/>
      <c r="B210" s="37" t="s">
        <v>62</v>
      </c>
      <c r="C210" s="37" t="s">
        <v>56</v>
      </c>
      <c r="D210" s="40" t="s">
        <v>218</v>
      </c>
      <c r="E210" s="52">
        <v>7.3999999999999999E-4</v>
      </c>
      <c r="F210" s="34"/>
      <c r="G210" s="34">
        <v>0</v>
      </c>
      <c r="H210" s="34">
        <v>111771</v>
      </c>
      <c r="I210" s="6">
        <f t="shared" si="13"/>
        <v>82.710539999999995</v>
      </c>
      <c r="J210" s="34"/>
      <c r="K210" s="34">
        <v>0</v>
      </c>
      <c r="L210" s="38">
        <f t="shared" si="11"/>
        <v>111771</v>
      </c>
      <c r="M210" s="6">
        <f t="shared" si="12"/>
        <v>82.710539999999995</v>
      </c>
      <c r="N210" s="33" t="s">
        <v>56</v>
      </c>
    </row>
    <row r="211" spans="1:15" s="35" customFormat="1" ht="15" customHeight="1">
      <c r="A211" s="44"/>
      <c r="B211" s="37" t="s">
        <v>71</v>
      </c>
      <c r="C211" s="37" t="s">
        <v>97</v>
      </c>
      <c r="D211" s="40" t="s">
        <v>58</v>
      </c>
      <c r="E211" s="52" t="s">
        <v>221</v>
      </c>
      <c r="F211" s="34">
        <f>I214*0.03</f>
        <v>129.85196250000001</v>
      </c>
      <c r="G211" s="34">
        <v>129.88500000000002</v>
      </c>
      <c r="H211" s="34"/>
      <c r="I211" s="6">
        <f t="shared" si="13"/>
        <v>0</v>
      </c>
      <c r="J211" s="34"/>
      <c r="K211" s="34">
        <v>0</v>
      </c>
      <c r="L211" s="38">
        <f t="shared" si="11"/>
        <v>129.85196250000001</v>
      </c>
      <c r="M211" s="6">
        <f t="shared" si="12"/>
        <v>129.88500000000002</v>
      </c>
      <c r="N211" s="33" t="s">
        <v>96</v>
      </c>
    </row>
    <row r="212" spans="1:15" s="35" customFormat="1" ht="15" customHeight="1">
      <c r="A212" s="44"/>
      <c r="B212" s="37" t="s">
        <v>174</v>
      </c>
      <c r="C212" s="37" t="s">
        <v>103</v>
      </c>
      <c r="D212" s="40" t="s">
        <v>197</v>
      </c>
      <c r="E212" s="52">
        <v>2.0830000000000001E-2</v>
      </c>
      <c r="F212" s="34"/>
      <c r="G212" s="34">
        <v>0</v>
      </c>
      <c r="H212" s="34"/>
      <c r="I212" s="6">
        <f t="shared" si="13"/>
        <v>0</v>
      </c>
      <c r="J212" s="34">
        <v>124</v>
      </c>
      <c r="K212" s="34">
        <v>2.5829200000000001</v>
      </c>
      <c r="L212" s="38">
        <f t="shared" si="11"/>
        <v>124</v>
      </c>
      <c r="M212" s="6">
        <f t="shared" si="12"/>
        <v>2.5829200000000001</v>
      </c>
      <c r="N212" s="33" t="s">
        <v>90</v>
      </c>
    </row>
    <row r="213" spans="1:15" s="35" customFormat="1" ht="15" customHeight="1">
      <c r="A213" s="44"/>
      <c r="B213" s="37" t="s">
        <v>214</v>
      </c>
      <c r="C213" s="37" t="s">
        <v>56</v>
      </c>
      <c r="D213" s="40" t="s">
        <v>195</v>
      </c>
      <c r="E213" s="52">
        <v>0.126</v>
      </c>
      <c r="F213" s="34"/>
      <c r="G213" s="34">
        <v>0</v>
      </c>
      <c r="H213" s="34"/>
      <c r="I213" s="6">
        <f t="shared" si="13"/>
        <v>0</v>
      </c>
      <c r="J213" s="34">
        <v>61.3</v>
      </c>
      <c r="K213" s="34">
        <v>7.7237999999999998</v>
      </c>
      <c r="L213" s="38">
        <f t="shared" si="11"/>
        <v>61.3</v>
      </c>
      <c r="M213" s="6">
        <f t="shared" si="12"/>
        <v>7.7237999999999998</v>
      </c>
      <c r="N213" s="33" t="s">
        <v>56</v>
      </c>
    </row>
    <row r="214" spans="1:15" ht="15" customHeight="1">
      <c r="A214" s="48"/>
      <c r="B214" s="49" t="s">
        <v>151</v>
      </c>
      <c r="C214" s="46" t="s">
        <v>56</v>
      </c>
      <c r="D214" s="41" t="s">
        <v>56</v>
      </c>
      <c r="E214" s="53"/>
      <c r="F214" s="7"/>
      <c r="G214" s="7">
        <f>SUM(G203:G213)</f>
        <v>333.18740000000003</v>
      </c>
      <c r="H214" s="7"/>
      <c r="I214" s="7">
        <f>SUM(I203:I213)</f>
        <v>4328.3987500000003</v>
      </c>
      <c r="J214" s="7"/>
      <c r="K214" s="7">
        <f>SUM(K203:K213)</f>
        <v>10.30672</v>
      </c>
      <c r="L214" s="36">
        <f>SUM(F214,H214,J214)</f>
        <v>0</v>
      </c>
      <c r="M214" s="7">
        <f>SUM(M203:M213)</f>
        <v>4671.8928699999997</v>
      </c>
      <c r="N214" s="2"/>
      <c r="O214" t="str">
        <f>A203</f>
        <v>일위21호</v>
      </c>
    </row>
    <row r="215" spans="1:15" s="35" customFormat="1" ht="15" customHeight="1">
      <c r="A215" s="44" t="s">
        <v>137</v>
      </c>
      <c r="B215" s="44" t="s">
        <v>162</v>
      </c>
      <c r="C215" s="37" t="s">
        <v>56</v>
      </c>
      <c r="D215" s="40" t="s">
        <v>217</v>
      </c>
      <c r="E215" s="52"/>
      <c r="F215" s="34"/>
      <c r="G215" s="34"/>
      <c r="H215" s="34"/>
      <c r="I215" s="34"/>
      <c r="J215" s="34"/>
      <c r="K215" s="34"/>
      <c r="L215" s="34"/>
      <c r="M215" s="34"/>
      <c r="N215" s="33" t="s">
        <v>185</v>
      </c>
    </row>
    <row r="216" spans="1:15" s="35" customFormat="1" ht="15" customHeight="1">
      <c r="A216" s="44"/>
      <c r="B216" s="45" t="s">
        <v>208</v>
      </c>
      <c r="C216" s="45" t="s">
        <v>56</v>
      </c>
      <c r="D216" s="40" t="s">
        <v>218</v>
      </c>
      <c r="E216" s="52">
        <v>7.1000000000000008E-2</v>
      </c>
      <c r="F216" s="34"/>
      <c r="G216" s="34"/>
      <c r="H216" s="34">
        <v>116013</v>
      </c>
      <c r="I216" s="6">
        <f>E216*H216</f>
        <v>8236.9230000000007</v>
      </c>
      <c r="J216" s="34"/>
      <c r="K216" s="34"/>
      <c r="L216" s="38">
        <f>SUM(F216,H216,J216)</f>
        <v>116013</v>
      </c>
      <c r="M216" s="6">
        <f>SUM(G216,I216,K216)</f>
        <v>8236.9230000000007</v>
      </c>
      <c r="N216" s="33" t="s">
        <v>56</v>
      </c>
    </row>
    <row r="217" spans="1:15" ht="15" customHeight="1">
      <c r="A217" s="48"/>
      <c r="B217" s="49" t="s">
        <v>151</v>
      </c>
      <c r="C217" s="46" t="s">
        <v>56</v>
      </c>
      <c r="D217" s="41" t="s">
        <v>56</v>
      </c>
      <c r="E217" s="53"/>
      <c r="F217" s="7"/>
      <c r="G217" s="7">
        <f>SUM(G215:G216)</f>
        <v>0</v>
      </c>
      <c r="H217" s="7"/>
      <c r="I217" s="7">
        <f>SUM(I215:I216)</f>
        <v>8236.9230000000007</v>
      </c>
      <c r="J217" s="7">
        <f>SUM(J216:J216)</f>
        <v>0</v>
      </c>
      <c r="K217" s="7">
        <f>SUM(K215:K216)</f>
        <v>0</v>
      </c>
      <c r="L217" s="36">
        <f>SUM(F217,H217,J217)</f>
        <v>0</v>
      </c>
      <c r="M217" s="7">
        <f>SUM(M215:M216)</f>
        <v>8236.9230000000007</v>
      </c>
      <c r="N217" s="2"/>
      <c r="O217" t="str">
        <f>A215</f>
        <v>일위22호</v>
      </c>
    </row>
    <row r="218" spans="1:15">
      <c r="A218" s="57" t="s">
        <v>134</v>
      </c>
      <c r="B218" s="44" t="s">
        <v>287</v>
      </c>
      <c r="C218" s="57" t="s">
        <v>202</v>
      </c>
      <c r="D218" s="40" t="s">
        <v>50</v>
      </c>
      <c r="E218" s="60"/>
      <c r="F218" s="61"/>
      <c r="G218" s="61"/>
      <c r="H218" s="61"/>
      <c r="I218" s="61"/>
      <c r="J218" s="61"/>
      <c r="K218" s="61"/>
      <c r="L218" s="61"/>
      <c r="M218" s="61"/>
      <c r="N218" s="57" t="s">
        <v>183</v>
      </c>
    </row>
    <row r="219" spans="1:15">
      <c r="A219" s="57"/>
      <c r="B219" s="57" t="s">
        <v>203</v>
      </c>
      <c r="C219" s="57" t="s">
        <v>246</v>
      </c>
      <c r="D219" s="59" t="s">
        <v>242</v>
      </c>
      <c r="E219" s="60">
        <v>0.25</v>
      </c>
      <c r="F219" s="61">
        <v>200</v>
      </c>
      <c r="G219" s="61">
        <v>50</v>
      </c>
      <c r="H219" s="61"/>
      <c r="I219" s="6">
        <f>E219*H219</f>
        <v>0</v>
      </c>
      <c r="J219" s="61"/>
      <c r="K219" s="61"/>
      <c r="L219" s="38">
        <f t="shared" ref="L219:M221" si="14">SUM(F219,H219,J219)</f>
        <v>200</v>
      </c>
      <c r="M219" s="6">
        <f t="shared" si="14"/>
        <v>50</v>
      </c>
      <c r="N219" s="57"/>
    </row>
    <row r="220" spans="1:15">
      <c r="A220" s="57"/>
      <c r="B220" s="57" t="s">
        <v>55</v>
      </c>
      <c r="C220" s="57" t="s">
        <v>210</v>
      </c>
      <c r="D220" s="59" t="s">
        <v>218</v>
      </c>
      <c r="E220" s="60">
        <v>1.4999999999999999E-2</v>
      </c>
      <c r="F220" s="61"/>
      <c r="G220" s="61"/>
      <c r="H220" s="61">
        <v>127681</v>
      </c>
      <c r="I220" s="6">
        <f>E220*H220</f>
        <v>1915.2149999999999</v>
      </c>
      <c r="J220" s="61"/>
      <c r="K220" s="61"/>
      <c r="L220" s="38">
        <f t="shared" si="14"/>
        <v>127681</v>
      </c>
      <c r="M220" s="6">
        <f t="shared" si="14"/>
        <v>1915.2149999999999</v>
      </c>
      <c r="N220" s="57"/>
    </row>
    <row r="221" spans="1:15">
      <c r="A221" s="57"/>
      <c r="B221" s="57" t="s">
        <v>71</v>
      </c>
      <c r="C221" s="57" t="s">
        <v>122</v>
      </c>
      <c r="D221" s="59" t="s">
        <v>58</v>
      </c>
      <c r="E221" s="60" t="s">
        <v>221</v>
      </c>
      <c r="F221" s="61">
        <f>I222*0.02</f>
        <v>38.304299999999998</v>
      </c>
      <c r="G221" s="61">
        <v>38</v>
      </c>
      <c r="H221" s="61"/>
      <c r="I221" s="6">
        <f>E221*H221</f>
        <v>0</v>
      </c>
      <c r="J221" s="61"/>
      <c r="K221" s="61"/>
      <c r="L221" s="38">
        <f t="shared" si="14"/>
        <v>38.304299999999998</v>
      </c>
      <c r="M221" s="6">
        <f t="shared" si="14"/>
        <v>38</v>
      </c>
      <c r="N221" s="57"/>
    </row>
    <row r="222" spans="1:15" ht="15" customHeight="1">
      <c r="A222" s="48"/>
      <c r="B222" s="49" t="s">
        <v>151</v>
      </c>
      <c r="C222" s="46" t="s">
        <v>56</v>
      </c>
      <c r="D222" s="41" t="s">
        <v>56</v>
      </c>
      <c r="E222" s="53"/>
      <c r="F222" s="62"/>
      <c r="G222" s="7">
        <f>SUM(G218:G221)</f>
        <v>88</v>
      </c>
      <c r="H222" s="62"/>
      <c r="I222" s="7">
        <f>SUM(I218:I221)</f>
        <v>1915.2149999999999</v>
      </c>
      <c r="J222" s="62"/>
      <c r="K222" s="7">
        <f>SUM(K218:K221)</f>
        <v>0</v>
      </c>
      <c r="L222" s="36">
        <f>SUM(F222,H222,J222)</f>
        <v>0</v>
      </c>
      <c r="M222" s="7">
        <f>SUM(M211:M221)</f>
        <v>23289.145590000004</v>
      </c>
      <c r="N222" s="2"/>
      <c r="O222" t="str">
        <f>A218</f>
        <v>일위23호</v>
      </c>
    </row>
    <row r="223" spans="1:15">
      <c r="A223" s="57" t="s">
        <v>140</v>
      </c>
      <c r="B223" s="44" t="s">
        <v>290</v>
      </c>
      <c r="C223" s="57" t="s">
        <v>135</v>
      </c>
      <c r="D223" s="40" t="s">
        <v>50</v>
      </c>
      <c r="E223" s="60"/>
      <c r="F223" s="61"/>
      <c r="G223" s="61"/>
      <c r="H223" s="61"/>
      <c r="I223" s="61"/>
      <c r="J223" s="61"/>
      <c r="K223" s="61"/>
      <c r="L223" s="61"/>
      <c r="M223" s="61"/>
      <c r="N223" s="57" t="s">
        <v>193</v>
      </c>
    </row>
    <row r="224" spans="1:15">
      <c r="A224" s="57"/>
      <c r="B224" s="57" t="s">
        <v>184</v>
      </c>
      <c r="C224" s="57" t="s">
        <v>282</v>
      </c>
      <c r="D224" s="59" t="s">
        <v>211</v>
      </c>
      <c r="E224" s="60">
        <v>0.21579999999999999</v>
      </c>
      <c r="F224" s="61">
        <v>8400</v>
      </c>
      <c r="G224" s="61">
        <v>1812.72</v>
      </c>
      <c r="H224" s="61"/>
      <c r="I224" s="61"/>
      <c r="J224" s="61"/>
      <c r="K224" s="61"/>
      <c r="L224" s="38">
        <f t="shared" ref="L224:M230" si="15">SUM(F224,H224,J224)</f>
        <v>8400</v>
      </c>
      <c r="M224" s="6">
        <f t="shared" si="15"/>
        <v>1812.72</v>
      </c>
      <c r="N224" s="57"/>
    </row>
    <row r="225" spans="1:15">
      <c r="A225" s="57"/>
      <c r="B225" s="57" t="s">
        <v>223</v>
      </c>
      <c r="C225" s="57" t="s">
        <v>172</v>
      </c>
      <c r="D225" s="59" t="s">
        <v>211</v>
      </c>
      <c r="E225" s="60">
        <v>1.04E-2</v>
      </c>
      <c r="F225" s="61">
        <v>1778</v>
      </c>
      <c r="G225" s="61">
        <v>18.491199999999999</v>
      </c>
      <c r="H225" s="61"/>
      <c r="I225" s="61"/>
      <c r="J225" s="61"/>
      <c r="K225" s="61"/>
      <c r="L225" s="38">
        <f t="shared" si="15"/>
        <v>1778</v>
      </c>
      <c r="M225" s="6">
        <f t="shared" si="15"/>
        <v>18.491199999999999</v>
      </c>
      <c r="N225" s="57"/>
    </row>
    <row r="226" spans="1:15">
      <c r="A226" s="57"/>
      <c r="B226" s="57" t="s">
        <v>219</v>
      </c>
      <c r="C226" s="57" t="s">
        <v>190</v>
      </c>
      <c r="D226" s="59" t="s">
        <v>58</v>
      </c>
      <c r="E226" s="60" t="s">
        <v>221</v>
      </c>
      <c r="F226" s="61">
        <v>1813</v>
      </c>
      <c r="G226" s="61">
        <v>108.78</v>
      </c>
      <c r="H226" s="61"/>
      <c r="I226" s="61"/>
      <c r="J226" s="61"/>
      <c r="K226" s="61"/>
      <c r="L226" s="38">
        <f t="shared" si="15"/>
        <v>1813</v>
      </c>
      <c r="M226" s="6">
        <f t="shared" si="15"/>
        <v>108.78</v>
      </c>
      <c r="N226" s="57"/>
    </row>
    <row r="227" spans="1:15">
      <c r="A227" s="57"/>
      <c r="B227" s="57" t="s">
        <v>269</v>
      </c>
      <c r="C227" s="57" t="s">
        <v>123</v>
      </c>
      <c r="D227" s="40" t="s">
        <v>50</v>
      </c>
      <c r="E227" s="60">
        <v>1</v>
      </c>
      <c r="F227" s="61">
        <v>169</v>
      </c>
      <c r="G227" s="61">
        <v>169</v>
      </c>
      <c r="H227" s="61">
        <v>838</v>
      </c>
      <c r="I227" s="61">
        <v>838</v>
      </c>
      <c r="J227" s="61"/>
      <c r="K227" s="61"/>
      <c r="L227" s="38">
        <f t="shared" si="15"/>
        <v>1007</v>
      </c>
      <c r="M227" s="6">
        <f t="shared" si="15"/>
        <v>1007</v>
      </c>
      <c r="N227" s="57"/>
    </row>
    <row r="228" spans="1:15">
      <c r="A228" s="57"/>
      <c r="B228" s="57" t="s">
        <v>210</v>
      </c>
      <c r="C228" s="57"/>
      <c r="D228" s="59" t="s">
        <v>218</v>
      </c>
      <c r="E228" s="60">
        <v>2.7000000000000001E-3</v>
      </c>
      <c r="F228" s="61"/>
      <c r="G228" s="61"/>
      <c r="H228" s="61">
        <v>127681</v>
      </c>
      <c r="I228" s="6">
        <f>E228*H228</f>
        <v>344.73869999999999</v>
      </c>
      <c r="J228" s="61"/>
      <c r="K228" s="61"/>
      <c r="L228" s="38">
        <f t="shared" si="15"/>
        <v>127681</v>
      </c>
      <c r="M228" s="6">
        <f t="shared" si="15"/>
        <v>344.73869999999999</v>
      </c>
      <c r="N228" s="57"/>
    </row>
    <row r="229" spans="1:15">
      <c r="A229" s="57"/>
      <c r="B229" s="57" t="s">
        <v>61</v>
      </c>
      <c r="C229" s="57"/>
      <c r="D229" s="59" t="s">
        <v>218</v>
      </c>
      <c r="E229" s="60">
        <v>1.2999999999999999E-3</v>
      </c>
      <c r="F229" s="61"/>
      <c r="G229" s="61"/>
      <c r="H229" s="61">
        <v>89566</v>
      </c>
      <c r="I229" s="6">
        <f>E229*H229</f>
        <v>116.4358</v>
      </c>
      <c r="J229" s="61"/>
      <c r="K229" s="61"/>
      <c r="L229" s="38">
        <f t="shared" si="15"/>
        <v>89566</v>
      </c>
      <c r="M229" s="6">
        <f t="shared" si="15"/>
        <v>116.4358</v>
      </c>
      <c r="N229" s="57"/>
    </row>
    <row r="230" spans="1:15">
      <c r="A230" s="57"/>
      <c r="B230" s="57" t="s">
        <v>71</v>
      </c>
      <c r="C230" s="57" t="s">
        <v>117</v>
      </c>
      <c r="D230" s="59" t="s">
        <v>58</v>
      </c>
      <c r="E230" s="60" t="s">
        <v>221</v>
      </c>
      <c r="F230" s="61">
        <f>I231*0.09</f>
        <v>116.92570499999998</v>
      </c>
      <c r="G230" s="61">
        <v>117</v>
      </c>
      <c r="H230" s="61"/>
      <c r="I230" s="61"/>
      <c r="J230" s="61"/>
      <c r="K230" s="61"/>
      <c r="L230" s="38">
        <f t="shared" si="15"/>
        <v>116.92570499999998</v>
      </c>
      <c r="M230" s="6">
        <f t="shared" si="15"/>
        <v>117</v>
      </c>
      <c r="N230" s="57"/>
    </row>
    <row r="231" spans="1:15">
      <c r="A231" s="48"/>
      <c r="B231" s="49" t="s">
        <v>151</v>
      </c>
      <c r="C231" s="46"/>
      <c r="D231" s="41"/>
      <c r="E231" s="53"/>
      <c r="F231" s="62"/>
      <c r="G231" s="7">
        <f>SUM(G224:G230)</f>
        <v>2225.9911999999999</v>
      </c>
      <c r="H231" s="62"/>
      <c r="I231" s="7">
        <f>SUM(I224:I230)</f>
        <v>1299.1744999999999</v>
      </c>
      <c r="J231" s="62"/>
      <c r="K231" s="7">
        <f>SUM(K224:K230)</f>
        <v>0</v>
      </c>
      <c r="L231" s="36">
        <f>SUM(F231,H231,J231)</f>
        <v>0</v>
      </c>
      <c r="M231" s="7">
        <f>SUM(M224:M230)</f>
        <v>3525.1657</v>
      </c>
      <c r="N231" s="2"/>
      <c r="O231" t="str">
        <f>A223</f>
        <v>일위24호</v>
      </c>
    </row>
    <row r="232" spans="1:15">
      <c r="A232" s="57" t="s">
        <v>128</v>
      </c>
      <c r="B232" s="44" t="s">
        <v>141</v>
      </c>
      <c r="C232" s="57"/>
      <c r="D232" s="59" t="s">
        <v>217</v>
      </c>
      <c r="E232" s="60"/>
      <c r="F232" s="61"/>
      <c r="G232" s="61"/>
      <c r="H232" s="61"/>
      <c r="I232" s="61"/>
      <c r="J232" s="61"/>
      <c r="K232" s="61"/>
      <c r="L232" s="61"/>
      <c r="M232" s="61"/>
      <c r="N232" s="57" t="s">
        <v>120</v>
      </c>
    </row>
    <row r="233" spans="1:15">
      <c r="A233" s="57"/>
      <c r="B233" s="57" t="s">
        <v>215</v>
      </c>
      <c r="C233" s="57"/>
      <c r="D233" s="59" t="s">
        <v>218</v>
      </c>
      <c r="E233" s="60">
        <v>0.13</v>
      </c>
      <c r="F233" s="61"/>
      <c r="G233" s="61"/>
      <c r="H233" s="61">
        <v>122333</v>
      </c>
      <c r="I233" s="6">
        <f>E233*H233</f>
        <v>15903.29</v>
      </c>
      <c r="J233" s="61"/>
      <c r="K233" s="61"/>
      <c r="L233" s="61">
        <v>122333</v>
      </c>
      <c r="M233" s="61">
        <v>15903.29</v>
      </c>
      <c r="N233" s="57"/>
    </row>
    <row r="234" spans="1:15">
      <c r="A234" s="48"/>
      <c r="B234" s="49" t="s">
        <v>151</v>
      </c>
      <c r="C234" s="46"/>
      <c r="D234" s="41"/>
      <c r="E234" s="53"/>
      <c r="F234" s="62"/>
      <c r="G234" s="7"/>
      <c r="H234" s="62"/>
      <c r="I234" s="7">
        <v>15903</v>
      </c>
      <c r="J234" s="62"/>
      <c r="K234" s="7"/>
      <c r="L234" s="63"/>
      <c r="M234" s="62">
        <v>15903.29</v>
      </c>
      <c r="N234" s="2"/>
      <c r="O234" t="str">
        <f>A232</f>
        <v>일위25호</v>
      </c>
    </row>
    <row r="235" spans="1:15">
      <c r="A235" s="57" t="s">
        <v>131</v>
      </c>
      <c r="B235" s="44" t="s">
        <v>262</v>
      </c>
      <c r="C235" s="57" t="s">
        <v>291</v>
      </c>
      <c r="D235" s="40" t="s">
        <v>50</v>
      </c>
      <c r="E235" s="60"/>
      <c r="F235" s="61"/>
      <c r="G235" s="61"/>
      <c r="H235" s="61"/>
      <c r="I235" s="61"/>
      <c r="J235" s="61"/>
      <c r="K235" s="61"/>
      <c r="L235" s="61"/>
      <c r="M235" s="61"/>
      <c r="N235" s="57" t="s">
        <v>289</v>
      </c>
    </row>
    <row r="236" spans="1:15">
      <c r="A236" s="57"/>
      <c r="B236" s="57" t="s">
        <v>116</v>
      </c>
      <c r="C236" s="57" t="s">
        <v>114</v>
      </c>
      <c r="D236" s="40" t="s">
        <v>50</v>
      </c>
      <c r="E236" s="60">
        <v>1.06</v>
      </c>
      <c r="F236" s="61">
        <v>72000</v>
      </c>
      <c r="G236" s="61">
        <v>76320</v>
      </c>
      <c r="H236" s="61"/>
      <c r="I236" s="61"/>
      <c r="J236" s="61"/>
      <c r="K236" s="61"/>
      <c r="L236" s="38">
        <f t="shared" ref="L236:M240" si="16">SUM(F236,H236,J236)</f>
        <v>72000</v>
      </c>
      <c r="M236" s="6">
        <f t="shared" si="16"/>
        <v>76320</v>
      </c>
      <c r="N236" s="57" t="s">
        <v>161</v>
      </c>
    </row>
    <row r="237" spans="1:15">
      <c r="A237" s="57"/>
      <c r="B237" s="57" t="s">
        <v>186</v>
      </c>
      <c r="C237" s="57" t="s">
        <v>245</v>
      </c>
      <c r="D237" s="59" t="s">
        <v>240</v>
      </c>
      <c r="E237" s="60">
        <v>4.33</v>
      </c>
      <c r="F237" s="61">
        <v>1408</v>
      </c>
      <c r="G237" s="61">
        <v>6096.64</v>
      </c>
      <c r="H237" s="61"/>
      <c r="I237" s="61"/>
      <c r="J237" s="61"/>
      <c r="K237" s="61"/>
      <c r="L237" s="38">
        <f t="shared" si="16"/>
        <v>1408</v>
      </c>
      <c r="M237" s="6">
        <f t="shared" si="16"/>
        <v>6096.64</v>
      </c>
      <c r="N237" s="57"/>
    </row>
    <row r="238" spans="1:15">
      <c r="A238" s="57"/>
      <c r="B238" s="57" t="s">
        <v>209</v>
      </c>
      <c r="C238" s="57"/>
      <c r="D238" s="59" t="s">
        <v>218</v>
      </c>
      <c r="E238" s="60">
        <v>0.4</v>
      </c>
      <c r="F238" s="61"/>
      <c r="G238" s="61"/>
      <c r="H238" s="61">
        <v>143609</v>
      </c>
      <c r="I238" s="61">
        <f>E238*H238</f>
        <v>57443.600000000006</v>
      </c>
      <c r="J238" s="61"/>
      <c r="K238" s="61"/>
      <c r="L238" s="38">
        <f t="shared" si="16"/>
        <v>143609</v>
      </c>
      <c r="M238" s="6">
        <f t="shared" si="16"/>
        <v>57443.600000000006</v>
      </c>
      <c r="N238" s="57"/>
    </row>
    <row r="239" spans="1:15">
      <c r="A239" s="57"/>
      <c r="B239" s="57" t="s">
        <v>61</v>
      </c>
      <c r="C239" s="57"/>
      <c r="D239" s="59" t="s">
        <v>218</v>
      </c>
      <c r="E239" s="60">
        <v>0.21</v>
      </c>
      <c r="F239" s="61"/>
      <c r="G239" s="61"/>
      <c r="H239" s="61">
        <v>89566</v>
      </c>
      <c r="I239" s="61">
        <f>E239*H239</f>
        <v>18808.86</v>
      </c>
      <c r="J239" s="61"/>
      <c r="K239" s="61"/>
      <c r="L239" s="38">
        <f t="shared" si="16"/>
        <v>89566</v>
      </c>
      <c r="M239" s="6">
        <f t="shared" si="16"/>
        <v>18808.86</v>
      </c>
      <c r="N239" s="57"/>
    </row>
    <row r="240" spans="1:15">
      <c r="A240" s="57"/>
      <c r="B240" s="57" t="s">
        <v>71</v>
      </c>
      <c r="C240" s="57" t="s">
        <v>97</v>
      </c>
      <c r="D240" s="59" t="s">
        <v>58</v>
      </c>
      <c r="E240" s="60" t="s">
        <v>221</v>
      </c>
      <c r="F240" s="61">
        <f>I241*0.03</f>
        <v>2287.5738000000001</v>
      </c>
      <c r="G240" s="61">
        <v>2288</v>
      </c>
      <c r="H240" s="61"/>
      <c r="I240" s="61"/>
      <c r="J240" s="61"/>
      <c r="K240" s="61"/>
      <c r="L240" s="38">
        <f t="shared" si="16"/>
        <v>2287.5738000000001</v>
      </c>
      <c r="M240" s="6">
        <f t="shared" si="16"/>
        <v>2288</v>
      </c>
      <c r="N240" s="57"/>
    </row>
    <row r="241" spans="1:15">
      <c r="A241" s="48"/>
      <c r="B241" s="49" t="s">
        <v>151</v>
      </c>
      <c r="C241" s="46"/>
      <c r="D241" s="41"/>
      <c r="E241" s="53"/>
      <c r="F241" s="62"/>
      <c r="G241" s="7">
        <f>SUM(G236:G240)</f>
        <v>84704.639999999999</v>
      </c>
      <c r="H241" s="62"/>
      <c r="I241" s="7">
        <f>SUM(I236:I240)</f>
        <v>76252.460000000006</v>
      </c>
      <c r="J241" s="62"/>
      <c r="K241" s="7">
        <f>SUM(K236:K240)</f>
        <v>0</v>
      </c>
      <c r="L241" s="63"/>
      <c r="M241" s="62">
        <f>SUM(M236:M240)</f>
        <v>160957.09999999998</v>
      </c>
      <c r="N241" s="2"/>
      <c r="O241" t="str">
        <f>A235</f>
        <v>일위26호</v>
      </c>
    </row>
    <row r="242" spans="1:15">
      <c r="A242" s="57" t="s">
        <v>110</v>
      </c>
      <c r="B242" s="44" t="s">
        <v>293</v>
      </c>
      <c r="C242" s="57" t="s">
        <v>113</v>
      </c>
      <c r="D242" s="40" t="s">
        <v>50</v>
      </c>
      <c r="E242" s="60"/>
      <c r="F242" s="61"/>
      <c r="G242" s="61"/>
      <c r="H242" s="61"/>
      <c r="I242" s="61"/>
      <c r="J242" s="61"/>
      <c r="K242" s="61"/>
      <c r="L242" s="61"/>
      <c r="M242" s="61"/>
      <c r="N242" s="57" t="s">
        <v>56</v>
      </c>
    </row>
    <row r="243" spans="1:15">
      <c r="A243" s="57"/>
      <c r="B243" s="57" t="s">
        <v>109</v>
      </c>
      <c r="C243" s="57" t="s">
        <v>115</v>
      </c>
      <c r="D243" s="59" t="s">
        <v>200</v>
      </c>
      <c r="E243" s="60">
        <v>40.700000000000003</v>
      </c>
      <c r="F243" s="61">
        <v>1000</v>
      </c>
      <c r="G243" s="61">
        <f>E243*F243</f>
        <v>40700</v>
      </c>
      <c r="H243" s="61"/>
      <c r="I243" s="61"/>
      <c r="J243" s="61"/>
      <c r="K243" s="61"/>
      <c r="L243" s="38">
        <f t="shared" ref="L243:M246" si="17">SUM(F243,H243,J243)</f>
        <v>1000</v>
      </c>
      <c r="M243" s="6">
        <f t="shared" si="17"/>
        <v>40700</v>
      </c>
      <c r="N243" s="57" t="s">
        <v>56</v>
      </c>
    </row>
    <row r="244" spans="1:15">
      <c r="A244" s="57"/>
      <c r="B244" s="57" t="s">
        <v>295</v>
      </c>
      <c r="C244" s="57" t="s">
        <v>213</v>
      </c>
      <c r="D244" s="59" t="s">
        <v>200</v>
      </c>
      <c r="E244" s="60">
        <v>37</v>
      </c>
      <c r="F244" s="61">
        <v>169</v>
      </c>
      <c r="G244" s="61">
        <f>E244*F244</f>
        <v>6253</v>
      </c>
      <c r="H244" s="61">
        <v>2415</v>
      </c>
      <c r="I244" s="61">
        <f>E244*H244</f>
        <v>89355</v>
      </c>
      <c r="J244" s="61">
        <v>10</v>
      </c>
      <c r="K244" s="61">
        <v>370</v>
      </c>
      <c r="L244" s="38">
        <f t="shared" si="17"/>
        <v>2594</v>
      </c>
      <c r="M244" s="6">
        <f t="shared" si="17"/>
        <v>95978</v>
      </c>
      <c r="N244" s="57" t="s">
        <v>258</v>
      </c>
    </row>
    <row r="245" spans="1:15">
      <c r="A245" s="57"/>
      <c r="B245" s="57" t="s">
        <v>292</v>
      </c>
      <c r="C245" s="57" t="s">
        <v>143</v>
      </c>
      <c r="D245" s="40" t="s">
        <v>50</v>
      </c>
      <c r="E245" s="60">
        <v>2</v>
      </c>
      <c r="F245" s="61">
        <v>794</v>
      </c>
      <c r="G245" s="61">
        <f>E245*F245</f>
        <v>1588</v>
      </c>
      <c r="H245" s="61">
        <v>461</v>
      </c>
      <c r="I245" s="61">
        <f>E245*H245</f>
        <v>922</v>
      </c>
      <c r="J245" s="61"/>
      <c r="K245" s="61"/>
      <c r="L245" s="38">
        <f t="shared" si="17"/>
        <v>1255</v>
      </c>
      <c r="M245" s="6">
        <f t="shared" si="17"/>
        <v>2510</v>
      </c>
      <c r="N245" s="57" t="s">
        <v>108</v>
      </c>
    </row>
    <row r="246" spans="1:15">
      <c r="A246" s="57"/>
      <c r="B246" s="57" t="s">
        <v>290</v>
      </c>
      <c r="C246" s="57" t="s">
        <v>294</v>
      </c>
      <c r="D246" s="40" t="s">
        <v>50</v>
      </c>
      <c r="E246" s="60">
        <v>2</v>
      </c>
      <c r="F246" s="61">
        <v>971</v>
      </c>
      <c r="G246" s="61">
        <f>E246*F246</f>
        <v>1942</v>
      </c>
      <c r="H246" s="61">
        <v>922</v>
      </c>
      <c r="I246" s="61">
        <f>E246*H246</f>
        <v>1844</v>
      </c>
      <c r="J246" s="61"/>
      <c r="K246" s="61"/>
      <c r="L246" s="38">
        <f t="shared" si="17"/>
        <v>1893</v>
      </c>
      <c r="M246" s="6">
        <f t="shared" si="17"/>
        <v>3786</v>
      </c>
      <c r="N246" s="57" t="s">
        <v>105</v>
      </c>
    </row>
    <row r="247" spans="1:15">
      <c r="A247" s="48"/>
      <c r="B247" s="49" t="s">
        <v>151</v>
      </c>
      <c r="C247" s="46"/>
      <c r="D247" s="41"/>
      <c r="E247" s="53"/>
      <c r="F247" s="62"/>
      <c r="G247" s="7">
        <f>SUM(G243:G246)</f>
        <v>50483</v>
      </c>
      <c r="H247" s="62"/>
      <c r="I247" s="7">
        <f>SUM(I243:I246)</f>
        <v>92121</v>
      </c>
      <c r="J247" s="62"/>
      <c r="K247" s="7">
        <f>SUM(K243:K246)</f>
        <v>370</v>
      </c>
      <c r="L247" s="63"/>
      <c r="M247" s="62">
        <f>SUM(M243:M246)</f>
        <v>142974</v>
      </c>
      <c r="N247" s="2"/>
      <c r="O247" t="str">
        <f>A242</f>
        <v>일위27호</v>
      </c>
    </row>
    <row r="248" spans="1:15">
      <c r="A248" s="57" t="s">
        <v>258</v>
      </c>
      <c r="B248" s="44" t="s">
        <v>295</v>
      </c>
      <c r="C248" s="57" t="s">
        <v>213</v>
      </c>
      <c r="D248" s="59" t="s">
        <v>200</v>
      </c>
      <c r="E248" s="60"/>
      <c r="F248" s="61"/>
      <c r="G248" s="61"/>
      <c r="H248" s="61"/>
      <c r="I248" s="61"/>
      <c r="J248" s="61"/>
      <c r="K248" s="61"/>
      <c r="L248" s="61"/>
      <c r="M248" s="61"/>
      <c r="N248" s="57" t="s">
        <v>139</v>
      </c>
    </row>
    <row r="249" spans="1:15">
      <c r="A249" s="57"/>
      <c r="B249" s="57" t="s">
        <v>175</v>
      </c>
      <c r="C249" s="57" t="s">
        <v>171</v>
      </c>
      <c r="D249" s="59" t="s">
        <v>200</v>
      </c>
      <c r="E249" s="60">
        <v>1.848E-2</v>
      </c>
      <c r="F249" s="61">
        <v>3150</v>
      </c>
      <c r="G249" s="61">
        <v>58.2</v>
      </c>
      <c r="H249" s="61"/>
      <c r="I249" s="61"/>
      <c r="J249" s="61"/>
      <c r="K249" s="61"/>
      <c r="L249" s="38">
        <f t="shared" ref="L249:L258" si="18">SUM(F249,H249,J249)</f>
        <v>3150</v>
      </c>
      <c r="M249" s="6">
        <f t="shared" ref="M249:M258" si="19">SUM(G249,I249,K249)</f>
        <v>58.2</v>
      </c>
      <c r="N249" s="57" t="s">
        <v>56</v>
      </c>
    </row>
    <row r="250" spans="1:15">
      <c r="A250" s="57"/>
      <c r="B250" s="57" t="s">
        <v>204</v>
      </c>
      <c r="C250" s="57" t="s">
        <v>91</v>
      </c>
      <c r="D250" s="59" t="s">
        <v>211</v>
      </c>
      <c r="E250" s="60">
        <v>6.3</v>
      </c>
      <c r="F250" s="61">
        <v>2</v>
      </c>
      <c r="G250" s="61">
        <v>12.6</v>
      </c>
      <c r="H250" s="61"/>
      <c r="I250" s="61"/>
      <c r="J250" s="61"/>
      <c r="K250" s="61"/>
      <c r="L250" s="38">
        <f t="shared" si="18"/>
        <v>2</v>
      </c>
      <c r="M250" s="6">
        <f t="shared" si="19"/>
        <v>12.6</v>
      </c>
      <c r="N250" s="57" t="s">
        <v>56</v>
      </c>
    </row>
    <row r="251" spans="1:15">
      <c r="A251" s="57"/>
      <c r="B251" s="57" t="s">
        <v>98</v>
      </c>
      <c r="C251" s="57" t="s">
        <v>56</v>
      </c>
      <c r="D251" s="59" t="s">
        <v>200</v>
      </c>
      <c r="E251" s="60">
        <v>2.7999999999999995E-3</v>
      </c>
      <c r="F251" s="61">
        <v>9500</v>
      </c>
      <c r="G251" s="61">
        <v>26.6</v>
      </c>
      <c r="H251" s="61"/>
      <c r="I251" s="61"/>
      <c r="J251" s="61"/>
      <c r="K251" s="61"/>
      <c r="L251" s="38">
        <f t="shared" si="18"/>
        <v>9500</v>
      </c>
      <c r="M251" s="6">
        <f t="shared" si="19"/>
        <v>26.6</v>
      </c>
      <c r="N251" s="57" t="s">
        <v>95</v>
      </c>
    </row>
    <row r="252" spans="1:15">
      <c r="A252" s="57"/>
      <c r="B252" s="57" t="s">
        <v>201</v>
      </c>
      <c r="C252" s="57" t="s">
        <v>56</v>
      </c>
      <c r="D252" s="59" t="s">
        <v>218</v>
      </c>
      <c r="E252" s="60">
        <v>1.3825E-2</v>
      </c>
      <c r="F252" s="61"/>
      <c r="G252" s="61"/>
      <c r="H252" s="34">
        <v>138413</v>
      </c>
      <c r="I252" s="61">
        <f>E252*H252</f>
        <v>1913.5597250000001</v>
      </c>
      <c r="J252" s="61"/>
      <c r="K252" s="61"/>
      <c r="L252" s="38">
        <f t="shared" si="18"/>
        <v>138413</v>
      </c>
      <c r="M252" s="6">
        <f t="shared" si="19"/>
        <v>1913.5597250000001</v>
      </c>
      <c r="N252" s="57" t="s">
        <v>111</v>
      </c>
    </row>
    <row r="253" spans="1:15">
      <c r="A253" s="57"/>
      <c r="B253" s="57" t="s">
        <v>61</v>
      </c>
      <c r="C253" s="57" t="s">
        <v>56</v>
      </c>
      <c r="D253" s="59" t="s">
        <v>218</v>
      </c>
      <c r="E253" s="60">
        <v>6.6E-4</v>
      </c>
      <c r="F253" s="61"/>
      <c r="G253" s="61"/>
      <c r="H253" s="34">
        <v>89566</v>
      </c>
      <c r="I253" s="61">
        <f>E253*H253</f>
        <v>59.11356</v>
      </c>
      <c r="J253" s="61"/>
      <c r="K253" s="61"/>
      <c r="L253" s="38">
        <f t="shared" si="18"/>
        <v>89566</v>
      </c>
      <c r="M253" s="6">
        <f t="shared" si="19"/>
        <v>59.11356</v>
      </c>
      <c r="N253" s="57" t="s">
        <v>56</v>
      </c>
    </row>
    <row r="254" spans="1:15">
      <c r="A254" s="57"/>
      <c r="B254" s="57" t="s">
        <v>198</v>
      </c>
      <c r="C254" s="57" t="s">
        <v>56</v>
      </c>
      <c r="D254" s="59" t="s">
        <v>218</v>
      </c>
      <c r="E254" s="60">
        <v>2.6000000000000003E-3</v>
      </c>
      <c r="F254" s="61"/>
      <c r="G254" s="61"/>
      <c r="H254" s="34">
        <v>138252</v>
      </c>
      <c r="I254" s="61">
        <f>E254*H254</f>
        <v>359.45520000000005</v>
      </c>
      <c r="J254" s="61"/>
      <c r="K254" s="61"/>
      <c r="L254" s="38">
        <f t="shared" si="18"/>
        <v>138252</v>
      </c>
      <c r="M254" s="6">
        <f t="shared" si="19"/>
        <v>359.45520000000005</v>
      </c>
      <c r="N254" s="57" t="s">
        <v>101</v>
      </c>
    </row>
    <row r="255" spans="1:15">
      <c r="A255" s="57"/>
      <c r="B255" s="57" t="s">
        <v>62</v>
      </c>
      <c r="C255" s="57" t="s">
        <v>56</v>
      </c>
      <c r="D255" s="59" t="s">
        <v>218</v>
      </c>
      <c r="E255" s="60">
        <v>7.3999999999999999E-4</v>
      </c>
      <c r="F255" s="61"/>
      <c r="G255" s="61"/>
      <c r="H255" s="34">
        <v>111771</v>
      </c>
      <c r="I255" s="61">
        <f>E255*H255</f>
        <v>82.710539999999995</v>
      </c>
      <c r="J255" s="61"/>
      <c r="K255" s="61"/>
      <c r="L255" s="38">
        <f t="shared" si="18"/>
        <v>111771</v>
      </c>
      <c r="M255" s="6">
        <f t="shared" si="19"/>
        <v>82.710539999999995</v>
      </c>
      <c r="N255" s="57" t="s">
        <v>56</v>
      </c>
    </row>
    <row r="256" spans="1:15" s="35" customFormat="1">
      <c r="A256" s="55"/>
      <c r="B256" s="56" t="s">
        <v>71</v>
      </c>
      <c r="C256" s="37" t="s">
        <v>97</v>
      </c>
      <c r="D256" s="40" t="s">
        <v>58</v>
      </c>
      <c r="E256" s="52" t="s">
        <v>221</v>
      </c>
      <c r="F256" s="73">
        <f>I259*0.03</f>
        <v>72.445170750000003</v>
      </c>
      <c r="G256" s="34">
        <v>72</v>
      </c>
      <c r="H256" s="73"/>
      <c r="I256" s="34"/>
      <c r="J256" s="73"/>
      <c r="K256" s="34"/>
      <c r="L256" s="38">
        <f t="shared" si="18"/>
        <v>72.445170750000003</v>
      </c>
      <c r="M256" s="6">
        <f t="shared" si="19"/>
        <v>72</v>
      </c>
      <c r="N256" s="33" t="s">
        <v>96</v>
      </c>
    </row>
    <row r="257" spans="1:15">
      <c r="A257" s="57"/>
      <c r="B257" s="57" t="s">
        <v>174</v>
      </c>
      <c r="C257" s="57" t="s">
        <v>103</v>
      </c>
      <c r="D257" s="59" t="s">
        <v>197</v>
      </c>
      <c r="E257" s="60">
        <v>2.0830000000000001E-2</v>
      </c>
      <c r="F257" s="61"/>
      <c r="G257" s="61"/>
      <c r="H257" s="61"/>
      <c r="I257" s="61"/>
      <c r="J257" s="61">
        <v>124</v>
      </c>
      <c r="K257" s="61">
        <v>2.5</v>
      </c>
      <c r="L257" s="38">
        <f t="shared" si="18"/>
        <v>124</v>
      </c>
      <c r="M257" s="6">
        <f t="shared" si="19"/>
        <v>2.5</v>
      </c>
      <c r="N257" s="57" t="s">
        <v>90</v>
      </c>
    </row>
    <row r="258" spans="1:15">
      <c r="A258" s="57"/>
      <c r="B258" s="57" t="s">
        <v>214</v>
      </c>
      <c r="C258" s="57" t="s">
        <v>56</v>
      </c>
      <c r="D258" s="59" t="s">
        <v>195</v>
      </c>
      <c r="E258" s="60">
        <v>0.126</v>
      </c>
      <c r="F258" s="61"/>
      <c r="G258" s="61"/>
      <c r="H258" s="61"/>
      <c r="I258" s="61"/>
      <c r="J258" s="61">
        <v>61.3</v>
      </c>
      <c r="K258" s="61">
        <v>7.7</v>
      </c>
      <c r="L258" s="38">
        <f t="shared" si="18"/>
        <v>61.3</v>
      </c>
      <c r="M258" s="6">
        <f t="shared" si="19"/>
        <v>7.7</v>
      </c>
      <c r="N258" s="57" t="s">
        <v>56</v>
      </c>
    </row>
    <row r="259" spans="1:15">
      <c r="A259" s="48"/>
      <c r="B259" s="49" t="s">
        <v>151</v>
      </c>
      <c r="C259" s="46"/>
      <c r="D259" s="41"/>
      <c r="E259" s="53"/>
      <c r="F259" s="62"/>
      <c r="G259" s="7">
        <f>SUM(G249:G258)</f>
        <v>169.4</v>
      </c>
      <c r="H259" s="62"/>
      <c r="I259" s="7">
        <f>SUM(I249:I258)</f>
        <v>2414.8390250000002</v>
      </c>
      <c r="J259" s="62"/>
      <c r="K259" s="7">
        <f>SUM(K249:K258)</f>
        <v>10.199999999999999</v>
      </c>
      <c r="L259" s="63"/>
      <c r="M259" s="62">
        <f>SUM(M249:M258)</f>
        <v>2594.4390249999997</v>
      </c>
      <c r="N259" s="2"/>
      <c r="O259" t="str">
        <f>A248</f>
        <v>일위28호</v>
      </c>
    </row>
    <row r="260" spans="1:15">
      <c r="A260" s="57" t="s">
        <v>108</v>
      </c>
      <c r="B260" s="44" t="s">
        <v>292</v>
      </c>
      <c r="C260" s="57" t="s">
        <v>143</v>
      </c>
      <c r="D260" s="40" t="s">
        <v>50</v>
      </c>
      <c r="E260" s="60"/>
      <c r="F260" s="61"/>
      <c r="G260" s="61"/>
      <c r="H260" s="61"/>
      <c r="I260" s="61"/>
      <c r="J260" s="61"/>
      <c r="K260" s="61"/>
      <c r="L260" s="61"/>
      <c r="M260" s="61"/>
      <c r="N260" s="57" t="s">
        <v>272</v>
      </c>
    </row>
    <row r="261" spans="1:15">
      <c r="A261" s="57"/>
      <c r="B261" s="57" t="s">
        <v>176</v>
      </c>
      <c r="C261" s="57" t="s">
        <v>271</v>
      </c>
      <c r="D261" s="59" t="s">
        <v>211</v>
      </c>
      <c r="E261" s="60">
        <v>0.08</v>
      </c>
      <c r="F261" s="61">
        <v>9040</v>
      </c>
      <c r="G261" s="61">
        <v>723.2</v>
      </c>
      <c r="H261" s="61"/>
      <c r="I261" s="61"/>
      <c r="J261" s="61"/>
      <c r="K261" s="61"/>
      <c r="L261" s="38">
        <f t="shared" ref="L261:M266" si="20">SUM(F261,H261,J261)</f>
        <v>9040</v>
      </c>
      <c r="M261" s="6">
        <f t="shared" si="20"/>
        <v>723.2</v>
      </c>
      <c r="N261" s="57" t="s">
        <v>56</v>
      </c>
    </row>
    <row r="262" spans="1:15">
      <c r="A262" s="57"/>
      <c r="B262" s="57" t="s">
        <v>233</v>
      </c>
      <c r="C262" s="57" t="s">
        <v>154</v>
      </c>
      <c r="D262" s="59" t="s">
        <v>211</v>
      </c>
      <c r="E262" s="60">
        <v>4.0000000000000001E-3</v>
      </c>
      <c r="F262" s="61">
        <v>1777</v>
      </c>
      <c r="G262" s="61">
        <v>7.1</v>
      </c>
      <c r="H262" s="61"/>
      <c r="I262" s="61"/>
      <c r="J262" s="61"/>
      <c r="K262" s="61"/>
      <c r="L262" s="38">
        <f t="shared" si="20"/>
        <v>1777</v>
      </c>
      <c r="M262" s="6">
        <f t="shared" si="20"/>
        <v>7.1</v>
      </c>
      <c r="N262" s="57" t="s">
        <v>56</v>
      </c>
    </row>
    <row r="263" spans="1:15">
      <c r="A263" s="57"/>
      <c r="B263" s="57" t="s">
        <v>89</v>
      </c>
      <c r="C263" s="57" t="s">
        <v>296</v>
      </c>
      <c r="D263" s="59" t="s">
        <v>58</v>
      </c>
      <c r="E263" s="60" t="s">
        <v>221</v>
      </c>
      <c r="F263" s="61">
        <v>730.30000000000007</v>
      </c>
      <c r="G263" s="61">
        <v>21.9</v>
      </c>
      <c r="H263" s="61"/>
      <c r="I263" s="61"/>
      <c r="J263" s="61"/>
      <c r="K263" s="61"/>
      <c r="L263" s="38">
        <f t="shared" si="20"/>
        <v>730.30000000000007</v>
      </c>
      <c r="M263" s="6">
        <f t="shared" si="20"/>
        <v>21.9</v>
      </c>
      <c r="N263" s="57" t="s">
        <v>56</v>
      </c>
    </row>
    <row r="264" spans="1:15">
      <c r="A264" s="57"/>
      <c r="B264" s="57" t="s">
        <v>210</v>
      </c>
      <c r="C264" s="57" t="s">
        <v>56</v>
      </c>
      <c r="D264" s="59" t="s">
        <v>218</v>
      </c>
      <c r="E264" s="60">
        <v>2.7000000000000001E-3</v>
      </c>
      <c r="F264" s="61"/>
      <c r="G264" s="61"/>
      <c r="H264" s="61">
        <v>127681</v>
      </c>
      <c r="I264" s="61">
        <f>E264*H264</f>
        <v>344.73869999999999</v>
      </c>
      <c r="J264" s="61"/>
      <c r="K264" s="61"/>
      <c r="L264" s="38">
        <f t="shared" si="20"/>
        <v>127681</v>
      </c>
      <c r="M264" s="6">
        <f t="shared" si="20"/>
        <v>344.73869999999999</v>
      </c>
      <c r="N264" s="57" t="s">
        <v>56</v>
      </c>
    </row>
    <row r="265" spans="1:15">
      <c r="A265" s="57"/>
      <c r="B265" s="57" t="s">
        <v>61</v>
      </c>
      <c r="C265" s="57" t="s">
        <v>56</v>
      </c>
      <c r="D265" s="59" t="s">
        <v>218</v>
      </c>
      <c r="E265" s="60">
        <v>1.2999999999999999E-3</v>
      </c>
      <c r="F265" s="61"/>
      <c r="G265" s="61"/>
      <c r="H265" s="34">
        <v>89566</v>
      </c>
      <c r="I265" s="61">
        <f>E265*H265</f>
        <v>116.4358</v>
      </c>
      <c r="J265" s="61"/>
      <c r="K265" s="61"/>
      <c r="L265" s="38">
        <f t="shared" si="20"/>
        <v>89566</v>
      </c>
      <c r="M265" s="6">
        <f t="shared" si="20"/>
        <v>116.4358</v>
      </c>
      <c r="N265" s="57" t="s">
        <v>56</v>
      </c>
    </row>
    <row r="266" spans="1:15">
      <c r="A266" s="57"/>
      <c r="B266" s="57" t="s">
        <v>71</v>
      </c>
      <c r="C266" s="57" t="s">
        <v>144</v>
      </c>
      <c r="D266" s="59" t="s">
        <v>58</v>
      </c>
      <c r="E266" s="60" t="s">
        <v>221</v>
      </c>
      <c r="F266" s="61">
        <f>I267*0.09</f>
        <v>41.505704999999999</v>
      </c>
      <c r="G266" s="61">
        <v>42</v>
      </c>
      <c r="H266" s="61"/>
      <c r="I266" s="61"/>
      <c r="J266" s="61"/>
      <c r="K266" s="61"/>
      <c r="L266" s="38">
        <f t="shared" si="20"/>
        <v>41.505704999999999</v>
      </c>
      <c r="M266" s="6">
        <f t="shared" si="20"/>
        <v>42</v>
      </c>
      <c r="N266" s="57" t="s">
        <v>96</v>
      </c>
    </row>
    <row r="267" spans="1:15">
      <c r="A267" s="48"/>
      <c r="B267" s="49" t="s">
        <v>151</v>
      </c>
      <c r="C267" s="46"/>
      <c r="D267" s="41"/>
      <c r="E267" s="53"/>
      <c r="F267" s="62"/>
      <c r="G267" s="7">
        <f>SUM(G261:G266)</f>
        <v>794.2</v>
      </c>
      <c r="H267" s="62"/>
      <c r="I267" s="7">
        <f>SUM(I261:I266)</f>
        <v>461.17449999999997</v>
      </c>
      <c r="J267" s="62"/>
      <c r="K267" s="7">
        <f>SUM(K261:K266)</f>
        <v>0</v>
      </c>
      <c r="L267" s="63"/>
      <c r="M267" s="62">
        <f>SUM(M261:M266)</f>
        <v>1255.3745000000001</v>
      </c>
      <c r="N267" s="2"/>
      <c r="O267" t="str">
        <f>A260</f>
        <v>일위29호</v>
      </c>
    </row>
    <row r="268" spans="1:15">
      <c r="A268" s="57" t="s">
        <v>105</v>
      </c>
      <c r="B268" s="44" t="s">
        <v>290</v>
      </c>
      <c r="C268" s="57" t="s">
        <v>294</v>
      </c>
      <c r="D268" s="40" t="s">
        <v>50</v>
      </c>
      <c r="E268" s="64"/>
      <c r="F268" s="61"/>
      <c r="G268" s="61"/>
      <c r="H268" s="61"/>
      <c r="I268" s="61"/>
      <c r="J268" s="61"/>
      <c r="K268" s="61"/>
      <c r="L268" s="61"/>
      <c r="M268" s="61"/>
      <c r="N268" s="57" t="s">
        <v>278</v>
      </c>
    </row>
    <row r="269" spans="1:15">
      <c r="A269" s="57"/>
      <c r="B269" s="57" t="s">
        <v>99</v>
      </c>
      <c r="C269" s="57" t="s">
        <v>152</v>
      </c>
      <c r="D269" s="42" t="s">
        <v>211</v>
      </c>
      <c r="E269" s="74">
        <v>0.16600000000000001</v>
      </c>
      <c r="F269" s="61">
        <v>5060</v>
      </c>
      <c r="G269" s="61">
        <v>839.9</v>
      </c>
      <c r="H269" s="61"/>
      <c r="I269" s="61"/>
      <c r="J269" s="61"/>
      <c r="K269" s="61"/>
      <c r="L269" s="38">
        <f t="shared" ref="L269:M274" si="21">SUM(F269,H269,J269)</f>
        <v>5060</v>
      </c>
      <c r="M269" s="6">
        <f t="shared" si="21"/>
        <v>839.9</v>
      </c>
      <c r="N269" s="57" t="s">
        <v>56</v>
      </c>
    </row>
    <row r="270" spans="1:15">
      <c r="A270" s="57"/>
      <c r="B270" s="57" t="s">
        <v>233</v>
      </c>
      <c r="C270" s="57" t="s">
        <v>154</v>
      </c>
      <c r="D270" s="42" t="s">
        <v>211</v>
      </c>
      <c r="E270" s="74">
        <v>8.0000000000000002E-3</v>
      </c>
      <c r="F270" s="61">
        <v>1777</v>
      </c>
      <c r="G270" s="61">
        <v>14.2</v>
      </c>
      <c r="H270" s="61"/>
      <c r="I270" s="61"/>
      <c r="J270" s="61"/>
      <c r="K270" s="61"/>
      <c r="L270" s="38">
        <f t="shared" si="21"/>
        <v>1777</v>
      </c>
      <c r="M270" s="6">
        <f t="shared" si="21"/>
        <v>14.2</v>
      </c>
      <c r="N270" s="57" t="s">
        <v>56</v>
      </c>
    </row>
    <row r="271" spans="1:15">
      <c r="A271" s="57"/>
      <c r="B271" s="57" t="s">
        <v>89</v>
      </c>
      <c r="C271" s="57" t="s">
        <v>194</v>
      </c>
      <c r="D271" s="42" t="s">
        <v>58</v>
      </c>
      <c r="E271" s="64" t="s">
        <v>221</v>
      </c>
      <c r="F271" s="61">
        <v>854.1</v>
      </c>
      <c r="G271" s="61">
        <v>34.1</v>
      </c>
      <c r="H271" s="61"/>
      <c r="I271" s="61"/>
      <c r="J271" s="61"/>
      <c r="K271" s="61"/>
      <c r="L271" s="38">
        <f t="shared" si="21"/>
        <v>854.1</v>
      </c>
      <c r="M271" s="6">
        <f t="shared" si="21"/>
        <v>34.1</v>
      </c>
      <c r="N271" s="57" t="s">
        <v>56</v>
      </c>
    </row>
    <row r="272" spans="1:15">
      <c r="A272" s="57"/>
      <c r="B272" s="57" t="s">
        <v>210</v>
      </c>
      <c r="C272" s="57" t="s">
        <v>56</v>
      </c>
      <c r="D272" s="42" t="s">
        <v>218</v>
      </c>
      <c r="E272" s="74">
        <v>5.4000000000000003E-3</v>
      </c>
      <c r="F272" s="61"/>
      <c r="G272" s="61"/>
      <c r="H272" s="61">
        <v>127681</v>
      </c>
      <c r="I272" s="61">
        <f>E272*H272</f>
        <v>689.47739999999999</v>
      </c>
      <c r="J272" s="61"/>
      <c r="K272" s="61"/>
      <c r="L272" s="38">
        <f t="shared" si="21"/>
        <v>127681</v>
      </c>
      <c r="M272" s="6">
        <f t="shared" si="21"/>
        <v>689.47739999999999</v>
      </c>
      <c r="N272" s="57" t="s">
        <v>56</v>
      </c>
    </row>
    <row r="273" spans="1:15">
      <c r="A273" s="57"/>
      <c r="B273" s="57" t="s">
        <v>61</v>
      </c>
      <c r="C273" s="57" t="s">
        <v>56</v>
      </c>
      <c r="D273" s="42" t="s">
        <v>218</v>
      </c>
      <c r="E273" s="74">
        <v>2.6000000000000003E-3</v>
      </c>
      <c r="F273" s="61"/>
      <c r="G273" s="61"/>
      <c r="H273" s="61">
        <v>89566</v>
      </c>
      <c r="I273" s="61">
        <f>E273*H273</f>
        <v>232.87160000000003</v>
      </c>
      <c r="J273" s="61"/>
      <c r="K273" s="61"/>
      <c r="L273" s="38">
        <f t="shared" si="21"/>
        <v>89566</v>
      </c>
      <c r="M273" s="6">
        <f t="shared" si="21"/>
        <v>232.87160000000003</v>
      </c>
      <c r="N273" s="57" t="s">
        <v>56</v>
      </c>
    </row>
    <row r="274" spans="1:15">
      <c r="A274" s="57"/>
      <c r="B274" s="57" t="s">
        <v>71</v>
      </c>
      <c r="C274" s="57" t="s">
        <v>144</v>
      </c>
      <c r="D274" s="42" t="s">
        <v>58</v>
      </c>
      <c r="E274" s="64" t="s">
        <v>221</v>
      </c>
      <c r="F274" s="61">
        <f>I275*0.09</f>
        <v>83.011409999999998</v>
      </c>
      <c r="G274" s="61">
        <v>83</v>
      </c>
      <c r="H274" s="61"/>
      <c r="I274" s="61"/>
      <c r="J274" s="61"/>
      <c r="K274" s="61"/>
      <c r="L274" s="38">
        <f t="shared" si="21"/>
        <v>83.011409999999998</v>
      </c>
      <c r="M274" s="6">
        <f t="shared" si="21"/>
        <v>83</v>
      </c>
      <c r="N274" s="57" t="s">
        <v>96</v>
      </c>
    </row>
    <row r="275" spans="1:15">
      <c r="A275" s="48"/>
      <c r="B275" s="49" t="s">
        <v>151</v>
      </c>
      <c r="C275" s="46"/>
      <c r="D275" s="41"/>
      <c r="E275" s="53"/>
      <c r="F275" s="62"/>
      <c r="G275" s="7">
        <f>SUM(G269:G274)</f>
        <v>971.2</v>
      </c>
      <c r="H275" s="62"/>
      <c r="I275" s="7">
        <f>SUM(I269:I274)</f>
        <v>922.34900000000005</v>
      </c>
      <c r="J275" s="62"/>
      <c r="K275" s="7">
        <f>SUM(K269:K274)</f>
        <v>0</v>
      </c>
      <c r="L275" s="63"/>
      <c r="M275" s="7">
        <f>SUM(M269:M274)</f>
        <v>1893.549</v>
      </c>
      <c r="N275" s="2"/>
      <c r="O275" t="str">
        <f>A268</f>
        <v>일위30호</v>
      </c>
    </row>
    <row r="276" spans="1:15">
      <c r="A276" s="57" t="s">
        <v>149</v>
      </c>
      <c r="B276" s="44" t="s">
        <v>284</v>
      </c>
      <c r="C276" s="57" t="s">
        <v>244</v>
      </c>
      <c r="D276" s="42" t="s">
        <v>228</v>
      </c>
      <c r="E276" s="64"/>
      <c r="F276" s="61"/>
      <c r="G276" s="61"/>
      <c r="H276" s="61"/>
      <c r="I276" s="61"/>
      <c r="J276" s="61"/>
      <c r="K276" s="61"/>
      <c r="L276" s="61"/>
      <c r="M276" s="61"/>
      <c r="N276" s="57" t="s">
        <v>213</v>
      </c>
    </row>
    <row r="277" spans="1:15">
      <c r="A277" s="57"/>
      <c r="B277" s="57" t="s">
        <v>286</v>
      </c>
      <c r="C277" s="57" t="s">
        <v>280</v>
      </c>
      <c r="D277" s="42" t="s">
        <v>228</v>
      </c>
      <c r="E277" s="74">
        <v>1.05</v>
      </c>
      <c r="F277" s="61">
        <v>10860</v>
      </c>
      <c r="G277" s="61">
        <v>11403</v>
      </c>
      <c r="H277" s="61"/>
      <c r="I277" s="61"/>
      <c r="J277" s="61"/>
      <c r="K277" s="61"/>
      <c r="L277" s="38">
        <f t="shared" ref="L277:M279" si="22">SUM(F277,H277,J277)</f>
        <v>10860</v>
      </c>
      <c r="M277" s="6">
        <f t="shared" si="22"/>
        <v>11403</v>
      </c>
      <c r="N277" s="57" t="s">
        <v>56</v>
      </c>
    </row>
    <row r="278" spans="1:15">
      <c r="A278" s="57"/>
      <c r="B278" s="57" t="s">
        <v>295</v>
      </c>
      <c r="C278" s="57" t="s">
        <v>213</v>
      </c>
      <c r="D278" s="42" t="s">
        <v>200</v>
      </c>
      <c r="E278" s="74">
        <v>13.1</v>
      </c>
      <c r="F278" s="61">
        <v>169</v>
      </c>
      <c r="G278" s="61">
        <v>2973.7</v>
      </c>
      <c r="H278" s="61">
        <v>2415</v>
      </c>
      <c r="I278" s="61">
        <v>31553.032695000002</v>
      </c>
      <c r="J278" s="61">
        <v>10</v>
      </c>
      <c r="K278" s="61">
        <v>131</v>
      </c>
      <c r="L278" s="38">
        <f t="shared" si="22"/>
        <v>2594</v>
      </c>
      <c r="M278" s="6">
        <f t="shared" si="22"/>
        <v>34657.732694999999</v>
      </c>
      <c r="N278" s="57" t="s">
        <v>251</v>
      </c>
    </row>
    <row r="279" spans="1:15">
      <c r="A279" s="57"/>
      <c r="B279" s="57" t="s">
        <v>145</v>
      </c>
      <c r="C279" s="57" t="s">
        <v>138</v>
      </c>
      <c r="D279" s="42" t="s">
        <v>229</v>
      </c>
      <c r="E279" s="74">
        <v>0.4</v>
      </c>
      <c r="F279" s="61">
        <v>752</v>
      </c>
      <c r="G279" s="61">
        <v>300.8</v>
      </c>
      <c r="H279" s="61">
        <v>2184</v>
      </c>
      <c r="I279" s="61">
        <v>838</v>
      </c>
      <c r="J279" s="61"/>
      <c r="K279" s="61"/>
      <c r="L279" s="38">
        <f t="shared" si="22"/>
        <v>2936</v>
      </c>
      <c r="M279" s="6">
        <f t="shared" si="22"/>
        <v>1138.8</v>
      </c>
      <c r="N279" s="57" t="s">
        <v>259</v>
      </c>
    </row>
    <row r="280" spans="1:15">
      <c r="A280" s="48"/>
      <c r="B280" s="49" t="s">
        <v>151</v>
      </c>
      <c r="C280" s="46"/>
      <c r="D280" s="41"/>
      <c r="E280" s="53"/>
      <c r="F280" s="62"/>
      <c r="G280" s="7">
        <f>SUM(G277:G279)</f>
        <v>14677.5</v>
      </c>
      <c r="H280" s="62"/>
      <c r="I280" s="7">
        <f>SUM(I277:I279)</f>
        <v>32391.032695000002</v>
      </c>
      <c r="J280" s="62"/>
      <c r="K280" s="7">
        <f>SUM(K277:K279)</f>
        <v>131</v>
      </c>
      <c r="L280" s="63"/>
      <c r="M280" s="7">
        <f>SUM(M277:M279)</f>
        <v>47199.532695000002</v>
      </c>
      <c r="N280" s="2"/>
      <c r="O280" t="str">
        <f>A276</f>
        <v>일위31호</v>
      </c>
    </row>
    <row r="281" spans="1:15">
      <c r="A281" s="57" t="s">
        <v>127</v>
      </c>
      <c r="B281" s="44" t="s">
        <v>145</v>
      </c>
      <c r="C281" s="57" t="s">
        <v>138</v>
      </c>
      <c r="D281" s="40" t="s">
        <v>50</v>
      </c>
      <c r="E281" s="64"/>
      <c r="F281" s="61"/>
      <c r="G281" s="61"/>
      <c r="H281" s="61"/>
      <c r="I281" s="61"/>
      <c r="J281" s="61"/>
      <c r="K281" s="61"/>
      <c r="L281" s="61"/>
      <c r="M281" s="61"/>
      <c r="N281" s="57" t="s">
        <v>142</v>
      </c>
    </row>
    <row r="282" spans="1:15">
      <c r="A282" s="57"/>
      <c r="B282" s="57" t="s">
        <v>176</v>
      </c>
      <c r="C282" s="57" t="s">
        <v>271</v>
      </c>
      <c r="D282" s="42" t="s">
        <v>211</v>
      </c>
      <c r="E282" s="74">
        <v>0.08</v>
      </c>
      <c r="F282" s="61">
        <v>9040</v>
      </c>
      <c r="G282" s="61">
        <f>E282*F282</f>
        <v>723.2</v>
      </c>
      <c r="H282" s="61"/>
      <c r="I282" s="61"/>
      <c r="J282" s="61"/>
      <c r="K282" s="61"/>
      <c r="L282" s="38">
        <f t="shared" ref="L282:M286" si="23">SUM(F282,H282,J282)</f>
        <v>9040</v>
      </c>
      <c r="M282" s="6">
        <f t="shared" si="23"/>
        <v>723.2</v>
      </c>
      <c r="N282" s="57" t="s">
        <v>56</v>
      </c>
    </row>
    <row r="283" spans="1:15">
      <c r="A283" s="57"/>
      <c r="B283" s="57" t="s">
        <v>233</v>
      </c>
      <c r="C283" s="57" t="s">
        <v>154</v>
      </c>
      <c r="D283" s="42" t="s">
        <v>211</v>
      </c>
      <c r="E283" s="74">
        <v>4.0000000000000001E-3</v>
      </c>
      <c r="F283" s="61">
        <v>1777</v>
      </c>
      <c r="G283" s="61">
        <f>E283*F283</f>
        <v>7.1080000000000005</v>
      </c>
      <c r="H283" s="61"/>
      <c r="I283" s="61"/>
      <c r="J283" s="61"/>
      <c r="K283" s="61"/>
      <c r="L283" s="38">
        <f t="shared" si="23"/>
        <v>1777</v>
      </c>
      <c r="M283" s="6">
        <f t="shared" si="23"/>
        <v>7.1080000000000005</v>
      </c>
      <c r="N283" s="57" t="s">
        <v>56</v>
      </c>
    </row>
    <row r="284" spans="1:15">
      <c r="A284" s="57"/>
      <c r="B284" s="57" t="s">
        <v>89</v>
      </c>
      <c r="C284" s="57" t="s">
        <v>296</v>
      </c>
      <c r="D284" s="42" t="s">
        <v>58</v>
      </c>
      <c r="E284" s="64" t="s">
        <v>221</v>
      </c>
      <c r="F284" s="61">
        <v>730.30000000000007</v>
      </c>
      <c r="G284" s="61">
        <f>E284*F284</f>
        <v>730.30000000000007</v>
      </c>
      <c r="H284" s="61"/>
      <c r="I284" s="61"/>
      <c r="J284" s="61"/>
      <c r="K284" s="61"/>
      <c r="L284" s="38">
        <f t="shared" si="23"/>
        <v>730.30000000000007</v>
      </c>
      <c r="M284" s="6">
        <f t="shared" si="23"/>
        <v>730.30000000000007</v>
      </c>
      <c r="N284" s="57" t="s">
        <v>56</v>
      </c>
    </row>
    <row r="285" spans="1:15">
      <c r="A285" s="57"/>
      <c r="B285" s="57" t="s">
        <v>210</v>
      </c>
      <c r="C285" s="57" t="s">
        <v>56</v>
      </c>
      <c r="D285" s="42" t="s">
        <v>218</v>
      </c>
      <c r="E285" s="74">
        <v>1.4999999999999999E-2</v>
      </c>
      <c r="F285" s="61"/>
      <c r="G285" s="61"/>
      <c r="H285" s="61">
        <v>127681</v>
      </c>
      <c r="I285" s="61">
        <f>E285*H285</f>
        <v>1915.2149999999999</v>
      </c>
      <c r="J285" s="61"/>
      <c r="K285" s="61"/>
      <c r="L285" s="38">
        <f t="shared" si="23"/>
        <v>127681</v>
      </c>
      <c r="M285" s="6">
        <f t="shared" si="23"/>
        <v>1915.2149999999999</v>
      </c>
      <c r="N285" s="57" t="s">
        <v>56</v>
      </c>
    </row>
    <row r="286" spans="1:15">
      <c r="A286" s="57"/>
      <c r="B286" s="57" t="s">
        <v>61</v>
      </c>
      <c r="C286" s="57" t="s">
        <v>56</v>
      </c>
      <c r="D286" s="42" t="s">
        <v>218</v>
      </c>
      <c r="E286" s="74">
        <v>3.0000000000000001E-3</v>
      </c>
      <c r="F286" s="61"/>
      <c r="G286" s="61"/>
      <c r="H286" s="61">
        <v>89566</v>
      </c>
      <c r="I286" s="61">
        <f>E286*H286</f>
        <v>268.69799999999998</v>
      </c>
      <c r="J286" s="61"/>
      <c r="K286" s="61"/>
      <c r="L286" s="38">
        <f t="shared" si="23"/>
        <v>89566</v>
      </c>
      <c r="M286" s="6">
        <f t="shared" si="23"/>
        <v>268.69799999999998</v>
      </c>
      <c r="N286" s="57" t="s">
        <v>56</v>
      </c>
    </row>
    <row r="287" spans="1:15">
      <c r="A287" s="48"/>
      <c r="B287" s="49" t="s">
        <v>151</v>
      </c>
      <c r="C287" s="46"/>
      <c r="D287" s="41"/>
      <c r="E287" s="53"/>
      <c r="F287" s="62"/>
      <c r="G287" s="7">
        <f>SUM(G282:G286)</f>
        <v>1460.6080000000002</v>
      </c>
      <c r="H287" s="62"/>
      <c r="I287" s="7">
        <f>SUM(I282:I286)</f>
        <v>2183.913</v>
      </c>
      <c r="J287" s="62"/>
      <c r="K287" s="7">
        <f>SUM(K282:K286)</f>
        <v>0</v>
      </c>
      <c r="L287" s="63"/>
      <c r="M287" s="7">
        <f>SUM(M282:M286)</f>
        <v>3644.5210000000002</v>
      </c>
      <c r="N287" s="2"/>
      <c r="O287" t="str">
        <f>A281</f>
        <v>일위32호</v>
      </c>
    </row>
    <row r="288" spans="1:15">
      <c r="A288" s="57" t="s">
        <v>257</v>
      </c>
      <c r="B288" s="44" t="s">
        <v>255</v>
      </c>
      <c r="C288" s="57"/>
      <c r="D288" s="42" t="s">
        <v>220</v>
      </c>
      <c r="E288" s="64"/>
      <c r="F288" s="61"/>
      <c r="G288" s="61"/>
      <c r="H288" s="61"/>
      <c r="I288" s="61"/>
      <c r="J288" s="61"/>
      <c r="K288" s="61"/>
      <c r="L288" s="61"/>
      <c r="M288" s="61"/>
      <c r="N288" s="57" t="s">
        <v>181</v>
      </c>
    </row>
    <row r="289" spans="1:15">
      <c r="A289" s="57"/>
      <c r="B289" s="57" t="s">
        <v>132</v>
      </c>
      <c r="C289" s="37" t="s">
        <v>270</v>
      </c>
      <c r="D289" s="42" t="s">
        <v>220</v>
      </c>
      <c r="E289" s="74">
        <v>1</v>
      </c>
      <c r="F289" s="61">
        <v>9900</v>
      </c>
      <c r="G289" s="61">
        <f>E289*F289</f>
        <v>9900</v>
      </c>
      <c r="H289" s="61"/>
      <c r="I289" s="61"/>
      <c r="J289" s="61"/>
      <c r="K289" s="61"/>
      <c r="L289" s="38">
        <f>SUM(F289,H289,J289)</f>
        <v>9900</v>
      </c>
      <c r="M289" s="6">
        <f>SUM(G289,I289,K289)</f>
        <v>9900</v>
      </c>
      <c r="N289" s="57"/>
    </row>
    <row r="290" spans="1:15">
      <c r="A290" s="57"/>
      <c r="B290" s="57" t="s">
        <v>89</v>
      </c>
      <c r="C290" s="57" t="s">
        <v>256</v>
      </c>
      <c r="D290" s="42" t="s">
        <v>58</v>
      </c>
      <c r="E290" s="60" t="s">
        <v>221</v>
      </c>
      <c r="F290" s="61">
        <f>G289*0.05</f>
        <v>495</v>
      </c>
      <c r="G290" s="61">
        <v>405</v>
      </c>
      <c r="H290" s="61"/>
      <c r="I290" s="61"/>
      <c r="J290" s="61"/>
      <c r="K290" s="61"/>
      <c r="L290" s="38">
        <v>405</v>
      </c>
      <c r="M290" s="6">
        <f>SUM(G290,I290,K290)</f>
        <v>405</v>
      </c>
      <c r="N290" s="57"/>
    </row>
    <row r="291" spans="1:15">
      <c r="A291" s="57"/>
      <c r="B291" s="57" t="s">
        <v>71</v>
      </c>
      <c r="C291" s="57" t="s">
        <v>77</v>
      </c>
      <c r="D291" s="42" t="s">
        <v>58</v>
      </c>
      <c r="E291" s="60" t="s">
        <v>221</v>
      </c>
      <c r="F291" s="61">
        <f>I294*0.03</f>
        <v>1601.54991</v>
      </c>
      <c r="G291" s="61">
        <v>1602</v>
      </c>
      <c r="H291" s="61"/>
      <c r="I291" s="61"/>
      <c r="J291" s="61"/>
      <c r="K291" s="61"/>
      <c r="L291" s="38">
        <f>SUM(F291,H291,J291)</f>
        <v>1601.54991</v>
      </c>
      <c r="M291" s="6">
        <f>SUM(G291,I291,K291)</f>
        <v>1602</v>
      </c>
      <c r="N291" s="57"/>
    </row>
    <row r="292" spans="1:15">
      <c r="A292" s="57"/>
      <c r="B292" s="57" t="s">
        <v>226</v>
      </c>
      <c r="C292" s="57"/>
      <c r="D292" s="42" t="s">
        <v>218</v>
      </c>
      <c r="E292" s="74">
        <v>0.26700000000000002</v>
      </c>
      <c r="F292" s="61"/>
      <c r="G292" s="61"/>
      <c r="H292" s="61">
        <v>137611</v>
      </c>
      <c r="I292" s="61">
        <v>36742.137000000002</v>
      </c>
      <c r="J292" s="61"/>
      <c r="K292" s="61"/>
      <c r="L292" s="38">
        <f>SUM(F292,H292,J292)</f>
        <v>137611</v>
      </c>
      <c r="M292" s="6">
        <f>SUM(G292,I292,K292)</f>
        <v>36742.137000000002</v>
      </c>
      <c r="N292" s="57"/>
    </row>
    <row r="293" spans="1:15">
      <c r="A293" s="57"/>
      <c r="B293" s="57" t="s">
        <v>239</v>
      </c>
      <c r="C293" s="57" t="s">
        <v>236</v>
      </c>
      <c r="D293" s="42" t="s">
        <v>218</v>
      </c>
      <c r="E293" s="74">
        <v>0.13</v>
      </c>
      <c r="F293" s="61"/>
      <c r="G293" s="61"/>
      <c r="H293" s="61">
        <v>128022</v>
      </c>
      <c r="I293" s="61">
        <v>16642.86</v>
      </c>
      <c r="J293" s="61"/>
      <c r="K293" s="61"/>
      <c r="L293" s="38">
        <f>SUM(F293,H293,J293)</f>
        <v>128022</v>
      </c>
      <c r="M293" s="6">
        <f>SUM(G293,I293,K293)</f>
        <v>16642.86</v>
      </c>
      <c r="N293" s="57"/>
    </row>
    <row r="294" spans="1:15">
      <c r="A294" s="48"/>
      <c r="B294" s="49" t="s">
        <v>151</v>
      </c>
      <c r="C294" s="46"/>
      <c r="D294" s="41"/>
      <c r="E294" s="53"/>
      <c r="F294" s="62"/>
      <c r="G294" s="7">
        <f>SUM(G289:G293)</f>
        <v>11907</v>
      </c>
      <c r="H294" s="62"/>
      <c r="I294" s="7">
        <f>SUM(I289:I293)</f>
        <v>53384.997000000003</v>
      </c>
      <c r="J294" s="62"/>
      <c r="K294" s="7">
        <f>SUM(K289:K293)</f>
        <v>0</v>
      </c>
      <c r="L294" s="63"/>
      <c r="M294" s="7">
        <f>SUM(M289:M293)</f>
        <v>65291.997000000003</v>
      </c>
      <c r="N294" s="2"/>
      <c r="O294" t="str">
        <f>A288</f>
        <v>일위33호</v>
      </c>
    </row>
    <row r="295" spans="1:15">
      <c r="A295" s="57" t="s">
        <v>253</v>
      </c>
      <c r="B295" s="57" t="s">
        <v>155</v>
      </c>
      <c r="C295" s="57"/>
      <c r="D295" s="42" t="s">
        <v>220</v>
      </c>
      <c r="E295" s="74"/>
      <c r="F295" s="61"/>
      <c r="G295" s="61"/>
      <c r="H295" s="61"/>
      <c r="I295" s="61"/>
      <c r="J295" s="61"/>
      <c r="K295" s="61"/>
      <c r="L295" s="61"/>
      <c r="M295" s="61"/>
      <c r="N295" s="37" t="s">
        <v>298</v>
      </c>
    </row>
    <row r="296" spans="1:15">
      <c r="A296" s="57"/>
      <c r="B296" s="57" t="s">
        <v>55</v>
      </c>
      <c r="C296" s="57" t="s">
        <v>237</v>
      </c>
      <c r="D296" s="42" t="s">
        <v>218</v>
      </c>
      <c r="E296" s="74">
        <v>0.17899999999999999</v>
      </c>
      <c r="F296" s="61"/>
      <c r="G296" s="61"/>
      <c r="H296" s="61">
        <v>133792</v>
      </c>
      <c r="I296" s="61">
        <f>E296*H296</f>
        <v>23948.768</v>
      </c>
      <c r="J296" s="61"/>
      <c r="K296" s="61"/>
      <c r="L296" s="38">
        <f t="shared" ref="L296:M298" si="24">SUM(F296,H296,J296)</f>
        <v>133792</v>
      </c>
      <c r="M296" s="6">
        <f t="shared" si="24"/>
        <v>23948.768</v>
      </c>
      <c r="N296" s="57"/>
    </row>
    <row r="297" spans="1:15">
      <c r="A297" s="57"/>
      <c r="B297" s="57" t="s">
        <v>55</v>
      </c>
      <c r="C297" s="57" t="s">
        <v>61</v>
      </c>
      <c r="D297" s="42" t="s">
        <v>218</v>
      </c>
      <c r="E297" s="74">
        <v>3.9E-2</v>
      </c>
      <c r="F297" s="61"/>
      <c r="G297" s="61"/>
      <c r="H297" s="61">
        <v>89566</v>
      </c>
      <c r="I297" s="61">
        <f>E297*H297</f>
        <v>3493.0740000000001</v>
      </c>
      <c r="J297" s="61"/>
      <c r="K297" s="61"/>
      <c r="L297" s="38">
        <f t="shared" si="24"/>
        <v>89566</v>
      </c>
      <c r="M297" s="6">
        <f t="shared" si="24"/>
        <v>3493.0740000000001</v>
      </c>
      <c r="N297" s="57"/>
    </row>
    <row r="298" spans="1:15">
      <c r="A298" s="57"/>
      <c r="B298" s="57" t="s">
        <v>274</v>
      </c>
      <c r="C298" s="57" t="s">
        <v>125</v>
      </c>
      <c r="D298" s="42" t="s">
        <v>58</v>
      </c>
      <c r="E298" s="60" t="s">
        <v>221</v>
      </c>
      <c r="F298" s="61">
        <f>I299*0.02</f>
        <v>548.83684000000005</v>
      </c>
      <c r="G298" s="61">
        <v>549</v>
      </c>
      <c r="H298" s="61"/>
      <c r="I298" s="61"/>
      <c r="J298" s="61"/>
      <c r="K298" s="61"/>
      <c r="L298" s="38">
        <f t="shared" si="24"/>
        <v>548.83684000000005</v>
      </c>
      <c r="M298" s="6">
        <f t="shared" si="24"/>
        <v>549</v>
      </c>
      <c r="N298" s="57"/>
    </row>
    <row r="299" spans="1:15">
      <c r="A299" s="48"/>
      <c r="B299" s="49" t="s">
        <v>151</v>
      </c>
      <c r="C299" s="46"/>
      <c r="D299" s="41"/>
      <c r="E299" s="75"/>
      <c r="F299" s="62"/>
      <c r="G299" s="7">
        <f>SUM(G296:G298)</f>
        <v>549</v>
      </c>
      <c r="H299" s="62"/>
      <c r="I299" s="7">
        <f>SUM(I296:I298)</f>
        <v>27441.842000000001</v>
      </c>
      <c r="J299" s="62"/>
      <c r="K299" s="7">
        <f>SUM(K296:K298)</f>
        <v>0</v>
      </c>
      <c r="L299" s="63"/>
      <c r="M299" s="7">
        <f>SUM(M296:M298)</f>
        <v>27990.842000000001</v>
      </c>
      <c r="N299" s="2"/>
      <c r="O299" t="str">
        <f>A295</f>
        <v>일위34호</v>
      </c>
    </row>
    <row r="300" spans="1:15">
      <c r="A300" s="57" t="s">
        <v>130</v>
      </c>
      <c r="B300" s="57" t="s">
        <v>248</v>
      </c>
      <c r="C300" s="57"/>
      <c r="D300" s="42" t="s">
        <v>220</v>
      </c>
      <c r="E300" s="74"/>
      <c r="F300" s="61"/>
      <c r="G300" s="61"/>
      <c r="H300" s="61"/>
      <c r="I300" s="61"/>
      <c r="J300" s="61"/>
      <c r="K300" s="61"/>
      <c r="L300" s="61"/>
      <c r="M300" s="61"/>
      <c r="N300" s="37" t="s">
        <v>182</v>
      </c>
    </row>
    <row r="301" spans="1:15">
      <c r="A301" s="57"/>
      <c r="B301" s="57" t="s">
        <v>55</v>
      </c>
      <c r="C301" s="57" t="s">
        <v>237</v>
      </c>
      <c r="D301" s="42" t="s">
        <v>218</v>
      </c>
      <c r="E301" s="74">
        <v>0.23499999999999999</v>
      </c>
      <c r="F301" s="61"/>
      <c r="G301" s="61"/>
      <c r="H301" s="61">
        <v>133792</v>
      </c>
      <c r="I301" s="61">
        <f>E301*H301</f>
        <v>31441.119999999999</v>
      </c>
      <c r="J301" s="61"/>
      <c r="K301" s="61"/>
      <c r="L301" s="38">
        <f t="shared" ref="L301:M303" si="25">SUM(F301,H301,J301)</f>
        <v>133792</v>
      </c>
      <c r="M301" s="6">
        <f t="shared" si="25"/>
        <v>31441.119999999999</v>
      </c>
      <c r="N301" s="57"/>
    </row>
    <row r="302" spans="1:15">
      <c r="A302" s="57"/>
      <c r="B302" s="57" t="s">
        <v>55</v>
      </c>
      <c r="C302" s="57" t="s">
        <v>61</v>
      </c>
      <c r="D302" s="42" t="s">
        <v>218</v>
      </c>
      <c r="E302" s="74">
        <v>5.2000000000000005E-2</v>
      </c>
      <c r="F302" s="61"/>
      <c r="G302" s="61"/>
      <c r="H302" s="61">
        <v>89566</v>
      </c>
      <c r="I302" s="61">
        <f>E302*H302</f>
        <v>4657.4320000000007</v>
      </c>
      <c r="J302" s="61"/>
      <c r="K302" s="61"/>
      <c r="L302" s="38">
        <f t="shared" si="25"/>
        <v>89566</v>
      </c>
      <c r="M302" s="6">
        <f t="shared" si="25"/>
        <v>4657.4320000000007</v>
      </c>
      <c r="N302" s="57"/>
    </row>
    <row r="303" spans="1:15">
      <c r="A303" s="57"/>
      <c r="B303" s="57" t="s">
        <v>274</v>
      </c>
      <c r="C303" s="57" t="s">
        <v>125</v>
      </c>
      <c r="D303" s="42" t="s">
        <v>58</v>
      </c>
      <c r="E303" s="60" t="s">
        <v>221</v>
      </c>
      <c r="F303" s="61">
        <f>I304*0.02</f>
        <v>721.9710399999999</v>
      </c>
      <c r="G303" s="61">
        <v>722</v>
      </c>
      <c r="H303" s="61"/>
      <c r="I303" s="61"/>
      <c r="J303" s="61"/>
      <c r="K303" s="61"/>
      <c r="L303" s="38">
        <f t="shared" si="25"/>
        <v>721.9710399999999</v>
      </c>
      <c r="M303" s="6">
        <f t="shared" si="25"/>
        <v>722</v>
      </c>
      <c r="N303" s="57"/>
    </row>
    <row r="304" spans="1:15">
      <c r="A304" s="48"/>
      <c r="B304" s="49" t="s">
        <v>151</v>
      </c>
      <c r="C304" s="46"/>
      <c r="D304" s="41"/>
      <c r="E304" s="75"/>
      <c r="F304" s="62"/>
      <c r="G304" s="7">
        <f>SUM(G301:G303)</f>
        <v>722</v>
      </c>
      <c r="H304" s="62"/>
      <c r="I304" s="7">
        <f>SUM(I301:I303)</f>
        <v>36098.551999999996</v>
      </c>
      <c r="J304" s="62"/>
      <c r="K304" s="7">
        <f>SUM(K301:K303)</f>
        <v>0</v>
      </c>
      <c r="L304" s="63"/>
      <c r="M304" s="7">
        <f>SUM(M301:M303)</f>
        <v>36820.551999999996</v>
      </c>
      <c r="N304" s="2"/>
      <c r="O304" t="str">
        <f>A300</f>
        <v>일위35호</v>
      </c>
    </row>
    <row r="305" spans="1:15">
      <c r="A305" s="57" t="s">
        <v>147</v>
      </c>
      <c r="B305" s="57" t="s">
        <v>247</v>
      </c>
      <c r="C305" s="57"/>
      <c r="D305" s="42" t="s">
        <v>220</v>
      </c>
      <c r="E305" s="74"/>
      <c r="F305" s="61"/>
      <c r="G305" s="61"/>
      <c r="H305" s="61"/>
      <c r="I305" s="61"/>
      <c r="J305" s="61"/>
      <c r="K305" s="61"/>
      <c r="L305" s="61"/>
      <c r="M305" s="61"/>
      <c r="N305" s="37" t="s">
        <v>298</v>
      </c>
    </row>
    <row r="306" spans="1:15">
      <c r="A306" s="57"/>
      <c r="B306" s="57" t="s">
        <v>55</v>
      </c>
      <c r="C306" s="57" t="s">
        <v>237</v>
      </c>
      <c r="D306" s="42" t="s">
        <v>218</v>
      </c>
      <c r="E306" s="74">
        <v>0.32700000000000001</v>
      </c>
      <c r="F306" s="61"/>
      <c r="G306" s="61"/>
      <c r="H306" s="61">
        <v>133792</v>
      </c>
      <c r="I306" s="61">
        <f>E306*H306</f>
        <v>43749.984000000004</v>
      </c>
      <c r="J306" s="61"/>
      <c r="K306" s="61"/>
      <c r="L306" s="38">
        <f t="shared" ref="L306:M308" si="26">SUM(F306,H306,J306)</f>
        <v>133792</v>
      </c>
      <c r="M306" s="6">
        <f t="shared" si="26"/>
        <v>43749.984000000004</v>
      </c>
      <c r="N306" s="57"/>
    </row>
    <row r="307" spans="1:15">
      <c r="A307" s="57"/>
      <c r="B307" s="57" t="s">
        <v>55</v>
      </c>
      <c r="C307" s="57" t="s">
        <v>61</v>
      </c>
      <c r="D307" s="42" t="s">
        <v>218</v>
      </c>
      <c r="E307" s="74">
        <v>7.1999999999999995E-2</v>
      </c>
      <c r="F307" s="61"/>
      <c r="G307" s="61"/>
      <c r="H307" s="61">
        <v>89566</v>
      </c>
      <c r="I307" s="61">
        <f>E307*H307</f>
        <v>6448.7519999999995</v>
      </c>
      <c r="J307" s="61"/>
      <c r="K307" s="61"/>
      <c r="L307" s="38">
        <f t="shared" si="26"/>
        <v>89566</v>
      </c>
      <c r="M307" s="6">
        <f t="shared" si="26"/>
        <v>6448.7519999999995</v>
      </c>
      <c r="N307" s="57"/>
    </row>
    <row r="308" spans="1:15">
      <c r="A308" s="57"/>
      <c r="B308" s="57" t="s">
        <v>274</v>
      </c>
      <c r="C308" s="57" t="s">
        <v>125</v>
      </c>
      <c r="D308" s="42" t="s">
        <v>58</v>
      </c>
      <c r="E308" s="60" t="s">
        <v>221</v>
      </c>
      <c r="F308" s="61">
        <f>I309*0.02</f>
        <v>1003.9747200000002</v>
      </c>
      <c r="G308" s="61">
        <v>1004</v>
      </c>
      <c r="H308" s="61"/>
      <c r="I308" s="61"/>
      <c r="J308" s="61"/>
      <c r="K308" s="61"/>
      <c r="L308" s="38">
        <f t="shared" si="26"/>
        <v>1003.9747200000002</v>
      </c>
      <c r="M308" s="6">
        <f t="shared" si="26"/>
        <v>1004</v>
      </c>
      <c r="N308" s="57"/>
    </row>
    <row r="309" spans="1:15">
      <c r="A309" s="48"/>
      <c r="B309" s="49" t="s">
        <v>151</v>
      </c>
      <c r="C309" s="46"/>
      <c r="D309" s="41"/>
      <c r="E309" s="75"/>
      <c r="F309" s="62"/>
      <c r="G309" s="7">
        <f>SUM(G306:G308)</f>
        <v>1004</v>
      </c>
      <c r="H309" s="62"/>
      <c r="I309" s="7">
        <f>SUM(I306:I308)</f>
        <v>50198.736000000004</v>
      </c>
      <c r="J309" s="62"/>
      <c r="K309" s="7">
        <f>SUM(K306:K308)</f>
        <v>0</v>
      </c>
      <c r="L309" s="63"/>
      <c r="M309" s="7">
        <f>SUM(M306:M308)</f>
        <v>51202.736000000004</v>
      </c>
      <c r="N309" s="2"/>
      <c r="O309" t="str">
        <f>A305</f>
        <v>일위36호</v>
      </c>
    </row>
    <row r="310" spans="1:15">
      <c r="A310" s="57" t="s">
        <v>263</v>
      </c>
      <c r="B310" s="57" t="s">
        <v>136</v>
      </c>
      <c r="C310" s="57" t="s">
        <v>277</v>
      </c>
      <c r="D310" s="42" t="s">
        <v>50</v>
      </c>
      <c r="E310" s="74"/>
      <c r="F310" s="37"/>
      <c r="G310" s="37"/>
      <c r="H310" s="37"/>
      <c r="I310" s="37"/>
      <c r="J310" s="37"/>
      <c r="K310" s="37"/>
      <c r="L310" s="37"/>
      <c r="M310" s="37"/>
      <c r="N310" s="37"/>
    </row>
    <row r="311" spans="1:15">
      <c r="A311" s="57"/>
      <c r="B311" s="57" t="s">
        <v>232</v>
      </c>
      <c r="C311" s="57"/>
      <c r="D311" s="42" t="s">
        <v>218</v>
      </c>
      <c r="E311" s="74">
        <v>9.1999999999999998E-2</v>
      </c>
      <c r="F311" s="76"/>
      <c r="G311" s="77"/>
      <c r="H311" s="77">
        <v>129263</v>
      </c>
      <c r="I311" s="77">
        <v>11892.196</v>
      </c>
      <c r="J311" s="37"/>
      <c r="K311" s="37"/>
      <c r="L311" s="78">
        <v>129263</v>
      </c>
      <c r="M311" s="78">
        <v>11892.196</v>
      </c>
      <c r="N311" s="37"/>
    </row>
    <row r="312" spans="1:15">
      <c r="A312" s="48"/>
      <c r="B312" s="49" t="s">
        <v>151</v>
      </c>
      <c r="C312" s="46"/>
      <c r="D312" s="41"/>
      <c r="E312" s="75"/>
      <c r="F312" s="62"/>
      <c r="G312" s="7">
        <f>SUM(G310:G311)</f>
        <v>0</v>
      </c>
      <c r="H312" s="62"/>
      <c r="I312" s="7">
        <v>11892</v>
      </c>
      <c r="J312" s="62"/>
      <c r="K312" s="7">
        <f>SUM(K310:K311)</f>
        <v>0</v>
      </c>
      <c r="L312" s="79"/>
      <c r="M312" s="80">
        <v>11892</v>
      </c>
      <c r="N312" s="2"/>
      <c r="O312" t="str">
        <f>A310</f>
        <v>일위37호</v>
      </c>
    </row>
    <row r="313" spans="1:15">
      <c r="A313" s="57" t="s">
        <v>266</v>
      </c>
      <c r="B313" s="57" t="s">
        <v>179</v>
      </c>
      <c r="C313" s="57"/>
      <c r="D313" s="59"/>
      <c r="E313" s="64"/>
      <c r="F313" s="57"/>
      <c r="G313" s="37"/>
      <c r="H313" s="37"/>
      <c r="I313" s="37"/>
      <c r="J313" s="37"/>
      <c r="K313" s="37"/>
      <c r="L313" s="37"/>
      <c r="M313" s="37"/>
      <c r="N313" s="37"/>
    </row>
    <row r="314" spans="1:15">
      <c r="A314" s="57"/>
      <c r="B314" s="85" t="s">
        <v>62</v>
      </c>
      <c r="C314" s="85" t="s">
        <v>56</v>
      </c>
      <c r="D314" s="86" t="s">
        <v>218</v>
      </c>
      <c r="E314" s="87">
        <v>1</v>
      </c>
      <c r="F314" s="88"/>
      <c r="G314" s="88"/>
      <c r="H314" s="89">
        <v>111771</v>
      </c>
      <c r="I314" s="77">
        <v>111771</v>
      </c>
      <c r="J314" s="37"/>
      <c r="K314" s="37"/>
      <c r="L314" s="78">
        <v>111771</v>
      </c>
      <c r="M314" s="78">
        <v>111771</v>
      </c>
      <c r="N314" s="37"/>
    </row>
    <row r="315" spans="1:15">
      <c r="A315" s="48"/>
      <c r="B315" s="49" t="s">
        <v>151</v>
      </c>
      <c r="C315" s="46"/>
      <c r="D315" s="41"/>
      <c r="E315" s="75"/>
      <c r="F315" s="62"/>
      <c r="G315" s="7">
        <f>SUM(G312:G314)</f>
        <v>0</v>
      </c>
      <c r="H315" s="62"/>
      <c r="I315" s="7">
        <v>111771</v>
      </c>
      <c r="J315" s="62"/>
      <c r="K315" s="7">
        <f>SUM(K312:K314)</f>
        <v>0</v>
      </c>
      <c r="L315" s="79"/>
      <c r="M315" s="80">
        <v>111771</v>
      </c>
      <c r="N315" s="2"/>
      <c r="O315" t="str">
        <f>A313</f>
        <v>일위38호</v>
      </c>
    </row>
    <row r="316" spans="1:15">
      <c r="A316" s="57" t="s">
        <v>264</v>
      </c>
      <c r="B316" s="57" t="s">
        <v>93</v>
      </c>
      <c r="C316" s="57" t="s">
        <v>100</v>
      </c>
      <c r="D316" s="59" t="s">
        <v>228</v>
      </c>
      <c r="E316" s="60"/>
      <c r="F316" s="78"/>
      <c r="G316" s="78"/>
      <c r="H316" s="78"/>
      <c r="I316" s="78"/>
      <c r="J316" s="78"/>
      <c r="K316" s="78"/>
      <c r="L316" s="78"/>
      <c r="M316" s="78"/>
      <c r="N316" s="37" t="s">
        <v>160</v>
      </c>
    </row>
    <row r="317" spans="1:15">
      <c r="A317" s="57"/>
      <c r="B317" s="57" t="s">
        <v>158</v>
      </c>
      <c r="C317" s="57" t="s">
        <v>159</v>
      </c>
      <c r="D317" s="59" t="s">
        <v>211</v>
      </c>
      <c r="E317" s="60">
        <v>0.03</v>
      </c>
      <c r="F317" s="78">
        <v>9310</v>
      </c>
      <c r="G317" s="78">
        <v>279.3</v>
      </c>
      <c r="H317" s="78"/>
      <c r="I317" s="78"/>
      <c r="J317" s="78"/>
      <c r="K317" s="78"/>
      <c r="L317" s="78">
        <v>9310</v>
      </c>
      <c r="M317" s="78">
        <v>279.3</v>
      </c>
      <c r="N317" s="37"/>
    </row>
    <row r="318" spans="1:15">
      <c r="A318" s="48"/>
      <c r="B318" s="49" t="s">
        <v>151</v>
      </c>
      <c r="C318" s="46"/>
      <c r="D318" s="41"/>
      <c r="E318" s="75"/>
      <c r="F318" s="80"/>
      <c r="G318" s="80">
        <f>SUM(G315:G317)</f>
        <v>279.3</v>
      </c>
      <c r="H318" s="80"/>
      <c r="I318" s="80"/>
      <c r="J318" s="80"/>
      <c r="K318" s="80"/>
      <c r="L318" s="79"/>
      <c r="M318" s="80">
        <v>279</v>
      </c>
      <c r="N318" s="2"/>
      <c r="O318" t="str">
        <f>A316</f>
        <v>일위39호</v>
      </c>
    </row>
    <row r="319" spans="1:15">
      <c r="A319" s="57" t="s">
        <v>261</v>
      </c>
      <c r="B319" s="57" t="s">
        <v>164</v>
      </c>
      <c r="C319" s="57" t="s">
        <v>230</v>
      </c>
      <c r="D319" s="59" t="s">
        <v>228</v>
      </c>
      <c r="E319" s="60"/>
      <c r="F319" s="78"/>
      <c r="G319" s="78"/>
      <c r="H319" s="78"/>
      <c r="I319" s="78"/>
      <c r="J319" s="78"/>
      <c r="K319" s="78"/>
      <c r="L319" s="78"/>
      <c r="M319" s="78"/>
      <c r="N319" s="78" t="s">
        <v>160</v>
      </c>
    </row>
    <row r="320" spans="1:15">
      <c r="A320" s="57"/>
      <c r="B320" s="57" t="s">
        <v>163</v>
      </c>
      <c r="C320" s="57" t="s">
        <v>252</v>
      </c>
      <c r="D320" s="59" t="s">
        <v>211</v>
      </c>
      <c r="E320" s="60">
        <v>0.12</v>
      </c>
      <c r="F320" s="78">
        <v>6300</v>
      </c>
      <c r="G320" s="78">
        <v>756</v>
      </c>
      <c r="H320" s="78"/>
      <c r="I320" s="78"/>
      <c r="J320" s="78"/>
      <c r="K320" s="78"/>
      <c r="L320" s="78">
        <v>6300</v>
      </c>
      <c r="M320" s="78">
        <v>756</v>
      </c>
      <c r="N320" s="78"/>
    </row>
    <row r="321" spans="1:15">
      <c r="A321" s="57"/>
      <c r="B321" s="57" t="s">
        <v>241</v>
      </c>
      <c r="C321" s="57" t="s">
        <v>56</v>
      </c>
      <c r="D321" s="59" t="s">
        <v>218</v>
      </c>
      <c r="E321" s="60">
        <v>0.03</v>
      </c>
      <c r="F321" s="78"/>
      <c r="G321" s="78"/>
      <c r="H321" s="78">
        <v>118066</v>
      </c>
      <c r="I321" s="78">
        <f>E321*H321</f>
        <v>3541.98</v>
      </c>
      <c r="J321" s="78"/>
      <c r="K321" s="78"/>
      <c r="L321" s="78">
        <v>118066</v>
      </c>
      <c r="M321" s="78">
        <v>3542</v>
      </c>
      <c r="N321" s="78"/>
    </row>
    <row r="322" spans="1:15">
      <c r="A322" s="48"/>
      <c r="B322" s="49" t="s">
        <v>151</v>
      </c>
      <c r="C322" s="46"/>
      <c r="D322" s="41"/>
      <c r="E322" s="75"/>
      <c r="F322" s="80"/>
      <c r="G322" s="80">
        <f>SUM(G319:G321)</f>
        <v>756</v>
      </c>
      <c r="H322" s="80"/>
      <c r="I322" s="80">
        <v>3542</v>
      </c>
      <c r="J322" s="80"/>
      <c r="K322" s="80"/>
      <c r="L322" s="79"/>
      <c r="M322" s="80">
        <f>SUM(M320:M321)</f>
        <v>4298</v>
      </c>
      <c r="N322" s="81"/>
      <c r="O322" t="str">
        <f>A319</f>
        <v>일위40호</v>
      </c>
    </row>
    <row r="323" spans="1:15">
      <c r="A323" s="57" t="s">
        <v>267</v>
      </c>
      <c r="B323" s="57" t="s">
        <v>265</v>
      </c>
      <c r="C323" s="57" t="s">
        <v>129</v>
      </c>
      <c r="D323" s="59" t="s">
        <v>228</v>
      </c>
      <c r="E323" s="60"/>
      <c r="F323" s="37"/>
      <c r="G323" s="37"/>
      <c r="H323" s="37"/>
      <c r="I323" s="37"/>
      <c r="J323" s="37"/>
      <c r="K323" s="37"/>
      <c r="L323" s="37"/>
      <c r="M323" s="37"/>
      <c r="N323" s="37" t="s">
        <v>169</v>
      </c>
    </row>
    <row r="324" spans="1:15">
      <c r="A324" s="57"/>
      <c r="B324" s="57" t="s">
        <v>260</v>
      </c>
      <c r="C324" s="57" t="s">
        <v>170</v>
      </c>
      <c r="D324" s="59" t="s">
        <v>228</v>
      </c>
      <c r="E324" s="60"/>
      <c r="F324" s="57"/>
      <c r="G324" s="57">
        <v>561.20000000000005</v>
      </c>
      <c r="H324" s="57"/>
      <c r="I324" s="76">
        <v>2244.8000000000002</v>
      </c>
      <c r="J324" s="76"/>
      <c r="K324" s="76"/>
      <c r="L324" s="76"/>
      <c r="M324" s="76">
        <v>2806</v>
      </c>
      <c r="N324" s="57"/>
    </row>
    <row r="325" spans="1:15">
      <c r="A325" s="48"/>
      <c r="B325" s="49" t="s">
        <v>151</v>
      </c>
      <c r="C325" s="46"/>
      <c r="D325" s="41"/>
      <c r="E325" s="53"/>
      <c r="F325" s="62"/>
      <c r="G325" s="62">
        <v>561.20000000000005</v>
      </c>
      <c r="H325" s="62"/>
      <c r="I325" s="82">
        <v>2244.8000000000002</v>
      </c>
      <c r="J325" s="82"/>
      <c r="K325" s="82"/>
      <c r="L325" s="83"/>
      <c r="M325" s="82">
        <f>SUM(M323:M324)</f>
        <v>2806</v>
      </c>
      <c r="N325" s="81"/>
      <c r="O325" t="str">
        <f>A323</f>
        <v>일위41호</v>
      </c>
    </row>
    <row r="326" spans="1:15">
      <c r="A326" s="57"/>
      <c r="B326" s="57"/>
      <c r="C326" s="57"/>
      <c r="D326" s="59"/>
      <c r="E326" s="60"/>
      <c r="F326" s="57"/>
      <c r="G326" s="57"/>
      <c r="H326" s="57"/>
      <c r="I326" s="57"/>
      <c r="J326" s="57"/>
      <c r="K326" s="57"/>
      <c r="L326" s="57"/>
      <c r="M326" s="57"/>
      <c r="N326" s="57"/>
    </row>
    <row r="327" spans="1:15">
      <c r="A327" s="57"/>
      <c r="B327" s="57"/>
      <c r="C327" s="57"/>
      <c r="D327" s="59"/>
      <c r="E327" s="60"/>
      <c r="F327" s="57"/>
      <c r="G327" s="57"/>
      <c r="H327" s="57"/>
      <c r="I327" s="57"/>
      <c r="J327" s="57"/>
      <c r="K327" s="57"/>
      <c r="L327" s="57"/>
      <c r="M327" s="57"/>
      <c r="N327" s="57"/>
    </row>
    <row r="328" spans="1:15">
      <c r="A328" s="57"/>
      <c r="B328" s="57"/>
      <c r="C328" s="57"/>
      <c r="D328" s="59"/>
      <c r="E328" s="60"/>
      <c r="F328" s="57"/>
      <c r="G328" s="57"/>
      <c r="H328" s="57"/>
      <c r="I328" s="57"/>
      <c r="J328" s="57"/>
      <c r="K328" s="57"/>
      <c r="L328" s="57"/>
      <c r="M328" s="57"/>
      <c r="N328" s="57"/>
    </row>
    <row r="329" spans="1:15">
      <c r="A329" s="57"/>
      <c r="B329" s="57"/>
      <c r="C329" s="57"/>
      <c r="D329" s="59"/>
      <c r="E329" s="60"/>
      <c r="F329" s="57"/>
      <c r="G329" s="57"/>
      <c r="H329" s="57"/>
      <c r="I329" s="57"/>
      <c r="J329" s="57"/>
      <c r="K329" s="57"/>
      <c r="L329" s="57"/>
      <c r="M329" s="57"/>
      <c r="N329" s="57"/>
    </row>
    <row r="330" spans="1:15">
      <c r="A330" s="57"/>
      <c r="B330" s="57"/>
      <c r="C330" s="57"/>
      <c r="D330" s="59"/>
      <c r="E330" s="60"/>
      <c r="F330" s="57"/>
      <c r="G330" s="57"/>
      <c r="H330" s="57"/>
      <c r="I330" s="57"/>
      <c r="J330" s="57"/>
      <c r="K330" s="57"/>
      <c r="L330" s="57"/>
      <c r="M330" s="57"/>
      <c r="N330" s="57"/>
    </row>
    <row r="331" spans="1:15">
      <c r="A331" s="57"/>
      <c r="B331" s="57"/>
      <c r="C331" s="57"/>
      <c r="D331" s="59"/>
      <c r="E331" s="60"/>
      <c r="F331" s="57"/>
      <c r="G331" s="57"/>
      <c r="H331" s="57"/>
      <c r="I331" s="57"/>
      <c r="J331" s="57"/>
      <c r="K331" s="57"/>
      <c r="L331" s="57"/>
      <c r="M331" s="57"/>
      <c r="N331" s="57"/>
    </row>
    <row r="332" spans="1:15">
      <c r="A332" s="57"/>
      <c r="B332" s="57"/>
      <c r="C332" s="57"/>
      <c r="D332" s="59"/>
      <c r="E332" s="60"/>
      <c r="F332" s="57"/>
      <c r="G332" s="57"/>
      <c r="H332" s="57"/>
      <c r="I332" s="57"/>
      <c r="J332" s="57"/>
      <c r="K332" s="57"/>
      <c r="L332" s="57"/>
      <c r="M332" s="57"/>
      <c r="N332" s="57"/>
    </row>
    <row r="333" spans="1:15">
      <c r="A333" s="57"/>
      <c r="B333" s="57"/>
      <c r="C333" s="57"/>
      <c r="D333" s="59"/>
      <c r="E333" s="60"/>
      <c r="F333" s="57"/>
      <c r="G333" s="57"/>
      <c r="H333" s="57"/>
      <c r="I333" s="57"/>
      <c r="J333" s="57"/>
      <c r="K333" s="57"/>
      <c r="L333" s="57"/>
      <c r="M333" s="57"/>
      <c r="N333" s="57"/>
    </row>
    <row r="334" spans="1:15">
      <c r="A334" s="57"/>
      <c r="B334" s="57"/>
      <c r="C334" s="57"/>
      <c r="D334" s="59"/>
      <c r="E334" s="60"/>
      <c r="F334" s="57"/>
      <c r="G334" s="57"/>
      <c r="H334" s="57"/>
      <c r="I334" s="57"/>
      <c r="J334" s="57"/>
      <c r="K334" s="57"/>
      <c r="L334" s="57"/>
      <c r="M334" s="57"/>
      <c r="N334" s="57"/>
    </row>
    <row r="335" spans="1:15">
      <c r="A335" s="57"/>
      <c r="B335" s="57"/>
      <c r="C335" s="57"/>
      <c r="D335" s="59"/>
      <c r="E335" s="60"/>
      <c r="F335" s="57"/>
      <c r="G335" s="57"/>
      <c r="H335" s="57"/>
      <c r="I335" s="57"/>
      <c r="J335" s="57"/>
      <c r="K335" s="57"/>
      <c r="L335" s="57"/>
      <c r="M335" s="57"/>
      <c r="N335" s="57"/>
    </row>
    <row r="336" spans="1:15">
      <c r="A336" s="57"/>
      <c r="B336" s="57"/>
      <c r="C336" s="57"/>
      <c r="D336" s="59"/>
      <c r="E336" s="60"/>
      <c r="F336" s="57"/>
      <c r="G336" s="57"/>
      <c r="H336" s="57"/>
      <c r="I336" s="57"/>
      <c r="J336" s="57"/>
      <c r="K336" s="57"/>
      <c r="L336" s="57"/>
      <c r="M336" s="57"/>
      <c r="N336" s="57"/>
    </row>
    <row r="337" spans="1:14">
      <c r="A337" s="57"/>
      <c r="B337" s="57"/>
      <c r="C337" s="57"/>
      <c r="D337" s="59"/>
      <c r="E337" s="60"/>
      <c r="F337" s="57"/>
      <c r="G337" s="57"/>
      <c r="H337" s="57"/>
      <c r="I337" s="57"/>
      <c r="J337" s="57"/>
      <c r="K337" s="57"/>
      <c r="L337" s="57"/>
      <c r="M337" s="57"/>
      <c r="N337" s="57"/>
    </row>
    <row r="338" spans="1:14">
      <c r="A338" s="57"/>
      <c r="B338" s="57"/>
      <c r="C338" s="57"/>
      <c r="D338" s="59"/>
      <c r="E338" s="60"/>
      <c r="F338" s="57"/>
      <c r="G338" s="57"/>
      <c r="H338" s="57"/>
      <c r="I338" s="57"/>
      <c r="J338" s="57"/>
      <c r="K338" s="57"/>
      <c r="L338" s="57"/>
      <c r="M338" s="57"/>
      <c r="N338" s="57"/>
    </row>
    <row r="339" spans="1:14">
      <c r="A339" s="57"/>
      <c r="B339" s="57"/>
      <c r="C339" s="57"/>
      <c r="D339" s="59"/>
      <c r="E339" s="60"/>
      <c r="F339" s="57"/>
      <c r="G339" s="57"/>
      <c r="H339" s="57"/>
      <c r="I339" s="57"/>
      <c r="J339" s="57"/>
      <c r="K339" s="57"/>
      <c r="L339" s="57"/>
      <c r="M339" s="57"/>
      <c r="N339" s="57"/>
    </row>
  </sheetData>
  <mergeCells count="10">
    <mergeCell ref="B1:N1"/>
    <mergeCell ref="C3:C4"/>
    <mergeCell ref="D3:D4"/>
    <mergeCell ref="E3:E4"/>
    <mergeCell ref="F3:G3"/>
    <mergeCell ref="H3:I3"/>
    <mergeCell ref="J3:K3"/>
    <mergeCell ref="L3:M3"/>
    <mergeCell ref="N3:N4"/>
    <mergeCell ref="A3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60" orientation="landscape"/>
  <rowBreaks count="1" manualBreakCount="1">
    <brk id="7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</vt:lpstr>
      <vt:lpstr>자재산출</vt:lpstr>
      <vt:lpstr>일위대가</vt:lpstr>
      <vt:lpstr>일위대가!Print_Area</vt:lpstr>
      <vt:lpstr>내역서!Print_Titles</vt:lpstr>
      <vt:lpstr>일위대가!Print_Titles</vt:lpstr>
      <vt:lpstr>자재산출!Print_Titles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184</cp:revision>
  <cp:lastPrinted>2015-10-25T13:06:57Z</cp:lastPrinted>
  <dcterms:created xsi:type="dcterms:W3CDTF">2015-03-12T00:00:06Z</dcterms:created>
  <dcterms:modified xsi:type="dcterms:W3CDTF">2015-10-25T13:07:10Z</dcterms:modified>
</cp:coreProperties>
</file>