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0410" tabRatio="896"/>
  </x:bookViews>
  <x:sheets>
    <x:sheet name="원가계산서" sheetId="1" r:id="rId4"/>
    <x:sheet name="집계표" sheetId="2" r:id="rId5"/>
    <x:sheet name="내역서" sheetId="3" r:id="rId6"/>
    <x:sheet name="일위대가목록" sheetId="4" r:id="rId7"/>
    <x:sheet name="일위대가표" sheetId="5" r:id="rId8"/>
    <x:sheet name="중기경비목록" sheetId="6" r:id="rId9"/>
    <x:sheet name="중기경비" sheetId="7" r:id="rId10"/>
    <x:sheet name="자재단가대비표" sheetId="8" r:id="rId11"/>
    <x:sheet name="마감표지" sheetId="9" r:id="rId12"/>
    <x:sheet name="1. 내,외부마감및보수공사-공종별집계표" sheetId="10" r:id="rId13"/>
    <x:sheet name="1. 내,외부마감및보수공사-물량산출서" sheetId="11" r:id="rId14"/>
  </x:sheets>
  <x:definedNames>
    <x:definedName name="_xlnm.Print_Area" localSheetId="0">원가계산서!$A$1:$F$30</x:definedName>
    <x:definedName name="_xlnm.Print_Area" localSheetId="1">집계표!$A$1:$M$20</x:definedName>
    <x:definedName name="_xlnm.Print_Area" localSheetId="2">내역서!$A$1:$M$100</x:definedName>
    <x:definedName name="_xlnm.Print_Area" localSheetId="3">일위대가목록!$A$1:$N$36</x:definedName>
    <x:definedName name="_xlnm.Print_Area" localSheetId="4">일위대가표!$A$1:$M$164</x:definedName>
    <x:definedName name="_xlnm.Print_Area" localSheetId="5">중기경비목록!$A$1:$N$20</x:definedName>
    <x:definedName name="_xlnm.Print_Area" localSheetId="6">중기경비!$A$1:$M$52</x:definedName>
    <x:definedName name="_xlnm.Print_Area" localSheetId="7">자재단가대비표!$A$1:$O$68</x:definedName>
    <x:definedName name="_xlnm.Print_Titles" localSheetId="0">원가계산서!$1:$5</x:definedName>
    <x:definedName name="_xlnm.Print_Titles" localSheetId="1">집계표!$1:$4</x:definedName>
    <x:definedName name="_xlnm.Print_Titles" localSheetId="2">내역서!$1:$4</x:definedName>
    <x:definedName name="_xlnm.Print_Titles" localSheetId="3">일위대가목록!$1:$4</x:definedName>
    <x:definedName name="_xlnm.Print_Titles" localSheetId="4">일위대가표!$1:$4</x:definedName>
    <x:definedName name="_xlnm.Print_Titles" localSheetId="5">중기경비목록!$1:$4</x:definedName>
    <x:definedName name="_xlnm.Print_Titles" localSheetId="6">중기경비!$1:$4</x:definedName>
    <x:definedName name="_xlnm.Print_Titles" localSheetId="7">자재단가대비표!$1:$4</x:definedName>
    <x:definedName name="_xlnm.Print_Titles" localSheetId="9">'1. 내,외부마감및보수공사-공종별집계표'!$1:$1</x:definedName>
    <x:definedName name="_xlnm.Print_Titles" localSheetId="10">'1. 내,외부마감및보수공사-물량산출서'!$1:$1</x:definedName>
  </x:definedNames>
  <x:calcPr xmlns:mc="http://schemas.openxmlformats.org/markup-compatibility/2006" xmlns:hs="http://schemas.haansoft.com/office/spreadsheet/8.0" iterate="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<x:sst xmlns:r="http://schemas.openxmlformats.org/officeDocument/2006/relationships" xmlns:c="http://schemas.openxmlformats.org/drawingml/2006/chart" xmlns:x="http://schemas.openxmlformats.org/spreadsheetml/2006/main" count="2176" uniqueCount="542">
  <x:si>
    <x:t>(4.5+10.05+1.1)*0.1W+1.7*0.1W*2면</x:t>
  </x:si>
  <x:si>
    <x:t>일위 17호 AL 복합판넬(국산,4t,불소)</x:t>
  </x:si>
  <x:si>
    <x:t>(3+1.68+0.12*2EA-0.9)*0.9H</x:t>
  </x:si>
  <x:si>
    <x:t>(3+1.68+0.12*2EA-0.9)*0.1</x:t>
  </x:si>
  <x:si>
    <x:t>(1.13+0.41+1.18)*2.85*2EA</x:t>
  </x:si>
  <x:si>
    <x:t>(1.13+0.41+1.18)*3.6H*2EA</x:t>
  </x:si>
  <x:si>
    <x:t>(1.13+0.41+1.18)*2.85*2EA*4.17KG/1000</x:t>
  </x:si>
  <x:si>
    <x:t>공사명 : 표선우체국 대수선공사 &gt; 내,외부마감및보수공사 &gt; 가설</x:t>
  </x:si>
  <x:si>
    <x:t>공사명 : 표선우체국 대수선공사 &gt; 내,외부마감및보수공사 &gt; 외부</x:t>
  </x:si>
  <x:si>
    <x:t>공사명 : 표선우체국 대수선공사 &gt; 내,외부마감및보수공사 &gt; 내부</x:t>
  </x:si>
  <x:si>
    <x:t>(1.8+1.75+7.05+1.47)*2*0.1W</x:t>
  </x:si>
  <x:si>
    <x:t>(12.55+5.5+1.8)*9.1H*0.9</x:t>
  </x:si>
  <x:si>
    <x:t>용접기 (교류)</x:t>
  </x:si>
  <x:si>
    <x:t>재   료   비</x:t>
  </x:si>
  <x:si>
    <x:t>폐자재처리수수료</x:t>
  </x:si>
  <x:si>
    <x:t>토목11-2,11-3</x:t>
  </x:si>
  <x:si>
    <x:t>경        비</x:t>
  </x:si>
  <x:si>
    <x:t>D50/2.6m</x:t>
  </x:si>
  <x:si>
    <x:t>한국건설폐기물수집운반</x:t>
  </x:si>
  <x:si>
    <x:t>합        계</x:t>
  </x:si>
  <x:si>
    <x:t>노   무   비</x:t>
  </x:si>
  <x:si>
    <x:t>0.3㎥ SET</x:t>
  </x:si>
  <x:si>
    <x:t>중기 12호 양수기</x:t>
  </x:si>
  <x:si>
    <x:t>319퍼티,백색</x:t>
  </x:si>
  <x:si>
    <x:t>319퍼티,회색</x:t>
  </x:si>
  <x:si>
    <x:t>조임철물, 직교및가새</x:t>
  </x:si>
  <x:si>
    <x:t>선홈통지지철물, 철재</x:t>
  </x:si>
  <x:si>
    <x:t>이음철물, 연결핀</x:t>
  </x:si>
  <x:si>
    <x:t>용접봉(연강용)</x:t>
  </x:si>
  <x:si>
    <x:t>∮3.2  CR-13</x:t>
  </x:si>
  <x:si>
    <x:t>#120~#180</x:t>
  </x:si>
  <x:si>
    <x:t>400*3000</x:t>
  </x:si>
  <x:si>
    <x:t>40kg 포장품</x:t>
  </x:si>
  <x:si>
    <x:t>비계안정장치(손잡이)</x:t>
  </x:si>
  <x:si>
    <x:t>비계기본틀(기둥)</x:t>
  </x:si>
  <x:si>
    <x:t>자연사(도착도)</x:t>
  </x:si>
  <x:si>
    <x:t>락카(낙서방지용)</x:t>
  </x:si>
  <x:si>
    <x:t>D200×300H</x:t>
  </x:si>
  <x:si>
    <x:t>400*1829</x:t>
  </x:si>
  <x:si>
    <x:t>고철, 작업설부산물</x:t>
  </x:si>
  <x:si>
    <x:t>L=1518-2개</x:t>
  </x:si>
  <x:si>
    <x:t>단 가 대 비 표</x:t>
  </x:si>
  <x:si>
    <x:t>중 기 경 비 목 록</x:t>
  </x:si>
  <x:si>
    <x:t>품        명</x:t>
  </x:si>
  <x:si>
    <x:t>규        격</x:t>
  </x:si>
  <x:si>
    <x:t>경      비</x:t>
  </x:si>
  <x:si>
    <x:t>합      계</x:t>
  </x:si>
  <x:si>
    <x:t>까차발, 3개월</x:t>
  </x:si>
  <x:si>
    <x:t>콘크리트,몰탈면(벽)</x:t>
  </x:si>
  <x:si>
    <x:t>건축17-1-1.1</x:t>
  </x:si>
  <x:si>
    <x:t>모르타르바름(바닥)</x:t>
  </x:si>
  <x:si>
    <x:t>수성페인트 로울러칠</x:t>
  </x:si>
  <x:si>
    <x:t>외벽 2회 1급</x:t>
  </x:si>
  <x:si>
    <x:t>건축15-1-2.2</x:t>
  </x:si>
  <x:si>
    <x:t>모르타르바름(기계)</x:t>
  </x:si>
  <x:si>
    <x:t>건축15-1-1</x:t>
  </x:si>
  <x:si>
    <x:t>건축17-2-2</x:t>
  </x:si>
  <x:si>
    <x:t>철재면2회.1급</x:t>
  </x:si>
  <x:si>
    <x:t>건축17-2-3</x:t>
  </x:si>
  <x:si>
    <x:t>평판,단열재 별도</x:t>
  </x:si>
  <x:si>
    <x:t>일위 20호 바닥철거</x:t>
  </x:si>
  <x:si>
    <x:t>건축18-1-1.1</x:t>
  </x:si>
  <x:si>
    <x:t>건축19-1-2</x:t>
  </x:si>
  <x:si>
    <x:t>VG1   ∮100</x:t>
  </x:si>
  <x:si>
    <x:t>잡철물제작설치(철제)</x:t>
  </x:si>
  <x:si>
    <x:t>건축13-2-2참조</x:t>
  </x:si>
  <x:si>
    <x:t>2015설비협회</x:t>
  </x:si>
  <x:si>
    <x:t>이동식강관말비계</x:t>
  </x:si>
  <x:si>
    <x:t>3개월,2단(4m)</x:t>
  </x:si>
  <x:si>
    <x:t>걸레받이용 페인트</x:t>
  </x:si>
  <x:si>
    <x:t>품      명</x:t>
  </x:si>
  <x:si>
    <x:t>간판철거후 재설치</x:t>
  </x:si>
  <x:si>
    <x:t>인터폰철거후 재설치</x:t>
  </x:si>
  <x:si>
    <x:t>규      격</x:t>
  </x:si>
  <x:si>
    <x:t>01. 가설공사</x:t>
  </x:si>
  <x:si>
    <x:t>02. 도장공사</x:t>
  </x:si>
  <x:si>
    <x:t>04. 철거공사</x:t>
  </x:si>
  <x:si>
    <x:t>05. 폐기물처리비</x:t>
  </x:si>
  <x:si>
    <x:t>03. 기타공사</x:t>
  </x:si>
  <x:si>
    <x:t>금      액</x:t>
  </x:si>
  <x:si>
    <x:t>구    성   비</x:t>
  </x:si>
  <x:si>
    <x:t>4천만원이상적용</x:t>
  </x:si>
  <x:si>
    <x:t>노인 장기 요양보험료</x:t>
  </x:si>
  <x:si>
    <x:t xml:space="preserve">         계</x:t>
  </x:si>
  <x:si>
    <x:t xml:space="preserve">발 주 처 : </x:t>
  </x:si>
  <x:si>
    <x:t>[ 가설공사 ]</x:t>
  </x:si>
  <x:si>
    <x:t>[ 도장공사 ]</x:t>
  </x:si>
  <x:si>
    <x:t>[ 기타공사 ]</x:t>
  </x:si>
  <x:si>
    <x:t>[ 철거공사 ]</x:t>
  </x:si>
  <x:si>
    <x:t>[ 폐기물처리비 ]</x:t>
  </x:si>
  <x:si>
    <x:t>(3*1.68)</x:t>
  </x:si>
  <x:si>
    <x:t>입면도 철거공사</x:t>
  </x:si>
  <x:si>
    <x:t>입면도 신설공사</x:t>
  </x:si>
  <x:si>
    <x:t>1F 접히는 부분</x:t>
  </x:si>
  <x:si>
    <x:t>2F 접히는 부분</x:t>
  </x:si>
  <x:si>
    <x:t>1.1*0.4*3줄</x:t>
  </x:si>
  <x:si>
    <x:t>1.25*8.6</x:t>
  </x:si>
  <x:si>
    <x:t>3개월이하 대여</x:t>
  </x:si>
  <x:si>
    <x:t>2015년10월</x:t>
  </x:si>
  <x:si>
    <x:t>Ø50mm-2.6m</x:t>
  </x:si>
  <x:si>
    <x:t>M2</x:t>
  </x:si>
  <x:si>
    <x:t>1EA</x:t>
  </x:si>
  <x:si>
    <x:t>돌출</x:t>
  </x:si>
  <x:si>
    <x:t>두겁</x:t>
  </x:si>
  <x:si>
    <x:t>창주위</x:t>
  </x:si>
  <x:si>
    <x:t>정면도</x:t>
  </x:si>
  <x:si>
    <x:t>2EA</x:t>
  </x:si>
  <x:si>
    <x:t>바닥</x:t>
  </x:si>
  <x:si>
    <x:t>물량</x:t>
  </x:si>
  <x:si>
    <x:t>산출식</x:t>
  </x:si>
  <x:si>
    <x:t>부위</x:t>
  </x:si>
  <x:si>
    <x:t>위치</x:t>
  </x:si>
  <x:si>
    <x:t>할증</x:t>
  </x:si>
  <x:si>
    <x:t>환산식</x:t>
  </x:si>
  <x:si>
    <x:t>환산값</x:t>
  </x:si>
  <x:si>
    <x:t>규격</x:t>
  </x:si>
  <x:si>
    <x:t>품명</x:t>
  </x:si>
  <x:si>
    <x:t>노무비</x:t>
  </x:si>
  <x:si>
    <x:t>Y</x:t>
  </x:si>
  <x:si>
    <x:t>H</x:t>
  </x:si>
  <x:si>
    <x:t>F</x:t>
  </x:si>
  <x:si>
    <x:t>E</x:t>
  </x:si>
  <x:si>
    <x:t>D</x:t>
  </x:si>
  <x:si>
    <x:t>C</x:t>
  </x:si>
  <x:si>
    <x:t>X</x:t>
  </x:si>
  <x:si>
    <x:t>C28</x:t>
  </x:si>
  <x:si>
    <x:t>C26</x:t>
  </x:si>
  <x:si>
    <x:t>C15</x:t>
  </x:si>
  <x:si>
    <x:t>C14</x:t>
  </x:si>
  <x:si>
    <x:t>C16</x:t>
  </x:si>
  <x:si>
    <x:t>C13</x:t>
  </x:si>
  <x:si>
    <x:t>C12</x:t>
  </x:si>
  <x:si>
    <x:t>C11</x:t>
  </x:si>
  <x:si>
    <x:t>C10</x:t>
  </x:si>
  <x:si>
    <x:t>C4</x:t>
  </x:si>
  <x:si>
    <x:t>B</x:t>
  </x:si>
  <x:si>
    <x:t>B1</x:t>
  </x:si>
  <x:si>
    <x:t>B2</x:t>
  </x:si>
  <x:si>
    <x:t>A</x:t>
  </x:si>
  <x:si>
    <x:t>A3</x:t>
  </x:si>
  <x:si>
    <x:t>A1</x:t>
  </x:si>
  <x:si>
    <x:t>A2</x:t>
  </x:si>
  <x:si>
    <x:t>수 량</x:t>
  </x:si>
  <x:si>
    <x:t>가설비</x:t>
  </x:si>
  <x:si>
    <x:t>장비비</x:t>
  </x:si>
  <x:si>
    <x:t>관급</x:t>
  </x:si>
  <x:si>
    <x:t>외주비</x:t>
  </x:si>
  <x:si>
    <x:t>운반비</x:t>
  </x:si>
  <x:si>
    <x:t>비고</x:t>
  </x:si>
  <x:si>
    <x:t>1대</x:t>
  </x:si>
  <x:si>
    <x:t>개소</x:t>
  </x:si>
  <x:si>
    <x:t>간단</x:t>
  </x:si>
  <x:si>
    <x:t>철재면</x:t>
  </x:si>
  <x:si>
    <x:t>05</x:t>
  </x:si>
  <x:si>
    <x:t>벽2회</x:t>
  </x:si>
  <x:si>
    <x:t>02</x:t>
  </x:si>
  <x:si>
    <x:t>수량</x:t>
  </x:si>
  <x:si>
    <x:t>호 표</x:t>
  </x:si>
  <x:si>
    <x:t>1</x:t>
  </x:si>
  <x:si>
    <x:t>01</x:t>
  </x:si>
  <x:si>
    <x:t>식</x:t>
  </x:si>
  <x:si>
    <x:t>잡품</x:t>
  </x:si>
  <x:si>
    <x:t>04</x:t>
  </x:si>
  <x:si>
    <x:t>재료비</x:t>
  </x:si>
  <x:si>
    <x:t>03</x:t>
  </x:si>
  <x:si>
    <x:t>HR</x:t>
  </x:si>
  <x:si>
    <x:t>2HP</x:t>
  </x:si>
  <x:si>
    <x:t>양수기</x:t>
  </x:si>
  <x:si>
    <x:t>대</x:t>
  </x:si>
  <x:si>
    <x:t>TON</x:t>
  </x:si>
  <x:si>
    <x:t>철공</x:t>
  </x:si>
  <x:si>
    <x:t>할석공</x:t>
  </x:si>
  <x:si>
    <x:t>용접공</x:t>
  </x:si>
  <x:si>
    <x:t>비계공</x:t>
  </x:si>
  <x:si>
    <x:t>배관공</x:t>
  </x:si>
  <x:si>
    <x:t>미장공</x:t>
  </x:si>
  <x:si>
    <x:t>도장공</x:t>
  </x:si>
  <x:si>
    <x:t>인</x:t>
  </x:si>
  <x:si>
    <x:t>내장공</x:t>
  </x:si>
  <x:si>
    <x:t>무연</x:t>
  </x:si>
  <x:si>
    <x:t>휘발유</x:t>
  </x:si>
  <x:si>
    <x:t>620</x:t>
  </x:si>
  <x:si>
    <x:t>퍼티</x:t>
  </x:si>
  <x:si>
    <x:t>접착재</x:t>
  </x:si>
  <x:si>
    <x:t>㎾h</x:t>
  </x:si>
  <x:si>
    <x:t>전력</x:t>
  </x:si>
  <x:si>
    <x:t>쟈키</x:t>
  </x:si>
  <x:si>
    <x:t>연마지</x:t>
  </x:si>
  <x:si>
    <x:t>매</x:t>
  </x:si>
  <x:si>
    <x:t>478</x:t>
  </x:si>
  <x:si>
    <x:t>아세톤</x:t>
  </x:si>
  <x:si>
    <x:t>556</x:t>
  </x:si>
  <x:si>
    <x:t>94</x:t>
  </x:si>
  <x:si>
    <x:t>신나</x:t>
  </x:si>
  <x:si>
    <x:t>136</x:t>
  </x:si>
  <x:si>
    <x:t>106</x:t>
  </x:si>
  <x:si>
    <x:t>시멘트</x:t>
  </x:si>
  <x:si>
    <x:t>621</x:t>
  </x:si>
  <x:si>
    <x:t>473</x:t>
  </x:si>
  <x:si>
    <x:t>산소</x:t>
  </x:si>
  <x:si>
    <x:t>145</x:t>
  </x:si>
  <x:si>
    <x:t>바퀴</x:t>
  </x:si>
  <x:si>
    <x:t>93</x:t>
  </x:si>
  <x:si>
    <x:t>135</x:t>
  </x:si>
  <x:si>
    <x:t>103</x:t>
  </x:si>
  <x:si>
    <x:t>M3</x:t>
  </x:si>
  <x:si>
    <x:t>모래</x:t>
  </x:si>
  <x:si>
    <x:t>625</x:t>
  </x:si>
  <x:si>
    <x:t>L</x:t>
  </x:si>
  <x:si>
    <x:t>508</x:t>
  </x:si>
  <x:si>
    <x:t>639</x:t>
  </x:si>
  <x:si>
    <x:t>KG</x:t>
  </x:si>
  <x:si>
    <x:t>넝마</x:t>
  </x:si>
  <x:si>
    <x:t>166</x:t>
  </x:si>
  <x:si>
    <x:t>146</x:t>
  </x:si>
  <x:si>
    <x:t>톤</x:t>
  </x:si>
  <x:si>
    <x:t>EA</x:t>
  </x:si>
  <x:si>
    <x:t>강설</x:t>
  </x:si>
  <x:si>
    <x:t>M</x:t>
  </x:si>
  <x:si>
    <x:t>164</x:t>
  </x:si>
  <x:si>
    <x:t/>
  </x:si>
  <x:si>
    <x:t>77</x:t>
  </x:si>
  <x:si>
    <x:t>조</x:t>
  </x:si>
  <x:si>
    <x:t>가새</x:t>
  </x:si>
  <x:si>
    <x:t>비 고</x:t>
  </x:si>
  <x:si>
    <x:t>단위</x:t>
  </x:si>
  <x:si>
    <x:t>공 사 명 : 표선우체국 대수선공사</x:t>
  </x:si>
  <x:si>
    <x:t>(0.6+0.9)*2면*0.1W</x:t>
  </x:si>
  <x:si>
    <x:t>12.55+4.7+0.9+10</x:t>
  </x:si>
  <x:si>
    <x:t>(3*1.68)*7.6KG/1000</x:t>
  </x:si>
  <x:si>
    <x:t>4.73*2.1+1.5*0.3</x:t>
  </x:si>
  <x:si>
    <x:t>소                계</x:t>
  </x:si>
  <x:si>
    <x:t>도    급    금    액</x:t>
  </x:si>
  <x:si>
    <x:t>마  감  물  량  산  출  서</x:t>
  </x:si>
  <x:si>
    <x:t>이                윤</x:t>
  </x:si>
  <x:si>
    <x:t>총       원       가</x:t>
  </x:si>
  <x:si>
    <x:t>기    계    경    비</x:t>
  </x:si>
  <x:si>
    <x:t>기    타    경    비</x:t>
  </x:si>
  <x:si>
    <x:t xml:space="preserve"> 소               계</x:t>
  </x:si>
  <x:si>
    <x:t>AL 복합판넬(국산,4t,불소)</x:t>
  </x:si>
  <x:si>
    <x:t>공사명 : 표선우체국 대수선공사</x:t>
  </x:si>
  <x:si>
    <x:t>강관비계고정브라켓(광명단마감)</x:t>
  </x:si>
  <x:si>
    <x:t>KSM6060-2종,조합페인트용</x:t>
  </x:si>
  <x:si>
    <x:t>KSM6010-1종1급, 백색</x:t>
  </x:si>
  <x:si>
    <x:t>15TON 덤프,중간처리,30km</x:t>
  </x:si>
  <x:si>
    <x:t>일위  5호 걸레받이용 페인트</x:t>
  </x:si>
  <x:si>
    <x:t>450*450*3.0mm (왁스무)</x:t>
  </x:si>
  <x:si>
    <x:t>일위  9호 모르타르바름(기계)</x:t>
  </x:si>
  <x:si>
    <x:t>일위  7호 모르타르바름(바닥)</x:t>
  </x:si>
  <x:si>
    <x:t>일위 14호 모르타르바름(기계)</x:t>
  </x:si>
  <x:si>
    <x:t>중    기    경    비</x:t>
  </x:si>
  <x:si>
    <x:t>KSM6020-1종1급, 갈색</x:t>
  </x:si>
  <x:si>
    <x:t>일위 15호 수성페인트 로울러칠</x:t>
  </x:si>
  <x:si>
    <x:t>KSM6020-1종1급, 황색</x:t>
  </x:si>
  <x:si>
    <x:t>일위 23호 잡철물제작설치(철제)</x:t>
  </x:si>
  <x:si>
    <x:t>일위 21호 난간기초 파손부분 철거</x:t>
  </x:si>
  <x:si>
    <x:t>일위 30호 인터폰철거후 재설치</x:t>
  </x:si>
  <x:si>
    <x:t>일위 28호 간판철거후 재설치</x:t>
  </x:si>
  <x:si>
    <x:t>내       역       서</x:t>
  </x:si>
  <x:si>
    <x:t>(재+직.노+기.경)*0.3%</x:t>
  </x:si>
  <x:si>
    <x:t>9.85*8.6+3.1*8.9-(주출입구:(2.95*2.85)*1)-(365문:(0.9*2.1)*1)-(1F창:(1.8*1.75)*1)-(2F창:(7.05*1.47)*1)</x:t>
  </x:si>
  <x:si>
    <x:t>유통물가</x:t>
  </x:si>
  <x:si>
    <x:t>가격정보</x:t>
  </x:si>
  <x:si>
    <x:t>규     격</x:t>
  </x:si>
  <x:si>
    <x:t>물가정보</x:t>
  </x:si>
  <x:si>
    <x:t>거래가격</x:t>
  </x:si>
  <x:si>
    <x:t>조사단가</x:t>
  </x:si>
  <x:si>
    <x:t>적용단가</x:t>
  </x:si>
  <x:si>
    <x:t>단   가</x:t>
  </x:si>
  <x:si>
    <x:t>Page</x:t>
  </x:si>
  <x:si>
    <x:t>강관비계</x:t>
  </x:si>
  <x:si>
    <x:t>TC-60</x:t>
  </x:si>
  <x:si>
    <x:t>데코타일</x:t>
  </x:si>
  <x:si>
    <x:t>건설발판</x:t>
  </x:si>
  <x:si>
    <x:t>중량13㎏</x:t>
  </x:si>
  <x:si>
    <x:t>관통슬리브</x:t>
  </x:si>
  <x:si>
    <x:t>하권130</x:t>
  </x:si>
  <x:si>
    <x:t>2-1005</x:t>
  </x:si>
  <x:si>
    <x:t>1385</x:t>
  </x:si>
  <x:si>
    <x:t>1-623</x:t>
  </x:si>
  <x:si>
    <x:t>1430</x:t>
  </x:si>
  <x:si>
    <x:t>받침철물</x:t>
  </x:si>
  <x:si>
    <x:t>L=1229</x:t>
  </x:si>
  <x:si>
    <x:t>L=1829</x:t>
  </x:si>
  <x:si>
    <x:t>산소 가스</x:t>
  </x:si>
  <x:si>
    <x:t>나무라이트복합</x:t>
  </x:si>
  <x:si>
    <x:t>하권33</x:t>
  </x:si>
  <x:si>
    <x:t>2-909</x:t>
  </x:si>
  <x:si>
    <x:t>1.2*1.7</x:t>
  </x:si>
  <x:si>
    <x:t>수성페인트</x:t>
  </x:si>
  <x:si>
    <x:t>1387</x:t>
  </x:si>
  <x:si>
    <x:t>2-257</x:t>
  </x:si>
  <x:si>
    <x:t>수평띠장</x:t>
  </x:si>
  <x:si>
    <x:t>2-937</x:t>
  </x:si>
  <x:si>
    <x:t>아세틸렌</x:t>
  </x:si>
  <x:si>
    <x:t>하권10</x:t>
  </x:si>
  <x:si>
    <x:t>손잡이기둥</x:t>
  </x:si>
  <x:si>
    <x:t>압축가스</x:t>
  </x:si>
  <x:si>
    <x:t>2-259</x:t>
  </x:si>
  <x:si>
    <x:t>안전발판</x:t>
  </x:si>
  <x:si>
    <x:t>아크론락카</x:t>
  </x:si>
  <x:si>
    <x:t>앙카용철물</x:t>
  </x:si>
  <x:si>
    <x:t>1418</x:t>
  </x:si>
  <x:si>
    <x:t>1216</x:t>
  </x:si>
  <x:si>
    <x:t>1273</x:t>
  </x:si>
  <x:si>
    <x:t>1-634</x:t>
  </x:si>
  <x:si>
    <x:t>1389</x:t>
  </x:si>
  <x:si>
    <x:t>이음철물</x:t>
  </x:si>
  <x:si>
    <x:t>하권341</x:t>
  </x:si>
  <x:si>
    <x:t>비닐타일용</x:t>
  </x:si>
  <x:si>
    <x:t>일반철물</x:t>
  </x:si>
  <x:si>
    <x:t>조임철물</x:t>
  </x:si>
  <x:si>
    <x:t>하권32</x:t>
  </x:si>
  <x:si>
    <x:t>1237</x:t>
  </x:si>
  <x:si>
    <x:t>보통인부</x:t>
  </x:si>
  <x:si>
    <x:t>2-908</x:t>
  </x:si>
  <x:si>
    <x:t>용접공(일반)</x:t>
  </x:si>
  <x:si>
    <x:t>일반기계운전사</x:t>
  </x:si>
  <x:si>
    <x:t>운전사(기계)</x:t>
  </x:si>
  <x:si>
    <x:t>특별인부</x:t>
  </x:si>
  <x:si>
    <x:t>하권168</x:t>
  </x:si>
  <x:si>
    <x:t>부록134</x:t>
  </x:si>
  <x:si>
    <x:t>모르터믹서</x:t>
  </x:si>
  <x:si>
    <x:t>0.3㎥</x:t>
  </x:si>
  <x:si>
    <x:t>토목11-4</x:t>
  </x:si>
  <x:si>
    <x:t>37kW</x:t>
  </x:si>
  <x:si>
    <x:t>배관파이프</x:t>
  </x:si>
  <x:si>
    <x:t>500 AMP</x:t>
  </x:si>
  <x:si>
    <x:t>건축폐자재</x:t>
  </x:si>
  <x:si>
    <x:t>하권167</x:t>
  </x:si>
  <x:si>
    <x:t>부록135</x:t>
  </x:si>
  <x:si>
    <x:t>모르터펌프</x:t>
  </x:si>
  <x:si>
    <x:t>수  량</x:t>
  </x:si>
  <x:si>
    <x:t>비  고</x:t>
  </x:si>
  <x:si>
    <x:t>단  가</x:t>
  </x:si>
  <x:si>
    <x:t>폐콘크리트</x:t>
  </x:si>
  <x:si>
    <x:t>손료요율</x:t>
  </x:si>
  <x:si>
    <x:t>손료구분</x:t>
  </x:si>
  <x:si>
    <x:t>적용구분</x:t>
  </x:si>
  <x:si>
    <x:t>합계구분</x:t>
  </x:si>
  <x:si>
    <x:t>금   액</x:t>
  </x:si>
  <x:si>
    <x:t>경  비</x:t>
  </x:si>
  <x:si>
    <x:t>기계경비</x:t>
  </x:si>
  <x:si>
    <x:t>소  계</x:t>
  </x:si>
  <x:si>
    <x:t>합  계</x:t>
  </x:si>
  <x:si>
    <x:t>37kw</x:t>
  </x:si>
  <x:si>
    <x:t>재 료 비</x:t>
  </x:si>
  <x:si>
    <x:t>노 무 비</x:t>
  </x:si>
  <x:si>
    <x:t>경    비</x:t>
  </x:si>
  <x:si>
    <x:t>합    계</x:t>
  </x:si>
  <x:si>
    <x:t>1.492kw</x:t>
  </x:si>
  <x:si>
    <x:t>모르터 펌프</x:t>
  </x:si>
  <x:si>
    <x:t>중기 11호</x:t>
  </x:si>
  <x:si>
    <x:t>모르터 믹서</x:t>
  </x:si>
  <x:si>
    <x:t>중기 12호</x:t>
  </x:si>
  <x:si>
    <x:t>중기 10호</x:t>
  </x:si>
  <x:si>
    <x:t>중기 24호</x:t>
  </x:si>
  <x:si>
    <x:t>노  무  비</x:t>
  </x:si>
  <x:si>
    <x:t>재  료  비</x:t>
  </x:si>
  <x:si>
    <x:t>중기 13호</x:t>
  </x:si>
  <x:si>
    <x:t>개 보수공사</x:t>
  </x:si>
  <x:si>
    <x:t>자재에입력</x:t>
  </x:si>
  <x:si>
    <x:t>공구손료</x:t>
  </x:si>
  <x:si>
    <x:t>일위  4호</x:t>
  </x:si>
  <x:si>
    <x:t>바탕만들기</x:t>
  </x:si>
  <x:si>
    <x:t>붓칠 2회</x:t>
  </x:si>
  <x:si>
    <x:t>참고자료</x:t>
  </x:si>
  <x:si>
    <x:t>일위  7호</x:t>
  </x:si>
  <x:si>
    <x:t>단면복구 포함</x:t>
  </x:si>
  <x:si>
    <x:t>모르타르배합</x:t>
  </x:si>
  <x:si>
    <x:t>일위 15호</x:t>
  </x:si>
  <x:si>
    <x:t>모르타르타설</x:t>
  </x:si>
  <x:si>
    <x:t>일위  8호</x:t>
  </x:si>
  <x:si>
    <x:t>일위 14호</x:t>
  </x:si>
  <x:si>
    <x:t>일위  9호</x:t>
  </x:si>
  <x:si>
    <x:t>조합페인트</x:t>
  </x:si>
  <x:si>
    <x:t>잡재료비</x:t>
  </x:si>
  <x:si>
    <x:t>비닐타일</x:t>
  </x:si>
  <x:si>
    <x:t>2015년5월</x:t>
  </x:si>
  <x:si>
    <x:t>슬리브 설치</x:t>
  </x:si>
  <x:si>
    <x:t>일위 23호</x:t>
  </x:si>
  <x:si>
    <x:t>일위 27호</x:t>
  </x:si>
  <x:si>
    <x:t>건축14-6</x:t>
  </x:si>
  <x:si>
    <x:t>금    액</x:t>
  </x:si>
  <x:si>
    <x:t>일위 29호</x:t>
  </x:si>
  <x:si>
    <x:t>건축물현장정리</x:t>
  </x:si>
  <x:si>
    <x:t>일위  1호</x:t>
  </x:si>
  <x:si>
    <x:t>강관외줄비계</x:t>
  </x:si>
  <x:si>
    <x:t>일위  2호</x:t>
  </x:si>
  <x:si>
    <x:t>낙서방지페인트</x:t>
  </x:si>
  <x:si>
    <x:t>일위  3호</x:t>
  </x:si>
  <x:si>
    <x:t>일위  6호</x:t>
  </x:si>
  <x:si>
    <x:t>일위  5호</x:t>
  </x:si>
  <x:si>
    <x:t>안전페인트</x:t>
  </x:si>
  <x:si>
    <x:t>일위 16호</x:t>
  </x:si>
  <x:si>
    <x:t>일위 18호</x:t>
  </x:si>
  <x:si>
    <x:t>일위 17호</x:t>
  </x:si>
  <x:si>
    <x:t>일위 19호</x:t>
  </x:si>
  <x:si>
    <x:t>데코타일붙임</x:t>
  </x:si>
  <x:si>
    <x:t>일위 20호</x:t>
  </x:si>
  <x:si>
    <x:t>표면세척처리</x:t>
  </x:si>
  <x:si>
    <x:t>일위 21호</x:t>
  </x:si>
  <x:si>
    <x:t>바닥철거</x:t>
  </x:si>
  <x:si>
    <x:t>일위 25호</x:t>
  </x:si>
  <x:si>
    <x:t>일위 22호</x:t>
  </x:si>
  <x:si>
    <x:t>일위 26호</x:t>
  </x:si>
  <x:si>
    <x:t>강판후레싱철거</x:t>
  </x:si>
  <x:si>
    <x:t>일위 28호</x:t>
  </x:si>
  <x:si>
    <x:t>일위 30호</x:t>
  </x:si>
  <x:si>
    <x:t>잡비제외분</x:t>
  </x:si>
  <x:si>
    <x:t>작업부산물</x:t>
  </x:si>
  <x:si>
    <x:t>사급자재대</x:t>
  </x:si>
  <x:si>
    <x:t>폐기물처리비</x:t>
  </x:si>
  <x:si>
    <x:t>관급자재대</x:t>
  </x:si>
  <x:si>
    <x:t>사용자항목1</x:t>
  </x:si>
  <x:si>
    <x:t>사용자항목2</x:t>
  </x:si>
  <x:si>
    <x:t>사용자항목3</x:t>
  </x:si>
  <x:si>
    <x:t>사용자항목4</x:t>
  </x:si>
  <x:si>
    <x:t>사용자항목5</x:t>
  </x:si>
  <x:si>
    <x:t>사용자항목6</x:t>
  </x:si>
  <x:si>
    <x:t>사용자항목7</x:t>
  </x:si>
  <x:si>
    <x:t>사용자항목8</x:t>
  </x:si>
  <x:si>
    <x:t>사용자항목9</x:t>
  </x:si>
  <x:si>
    <x:t>간접재료비</x:t>
  </x:si>
  <x:si>
    <x:t>합계제외</x:t>
  </x:si>
  <x:si>
    <x:t>비    고</x:t>
  </x:si>
  <x:si>
    <x:t>06. 작업설</x:t>
  </x:si>
  <x:si>
    <x:t>1개월이상적용</x:t>
  </x:si>
  <x:si>
    <x:t>3억원이상적용</x:t>
  </x:si>
  <x:si>
    <x:t>공사규모</x:t>
  </x:si>
  <x:si>
    <x:t>마감집계표</x:t>
  </x:si>
  <x:si>
    <x:t xml:space="preserve">공사위치 : </x:t>
  </x:si>
  <x:si>
    <x:t xml:space="preserve">대지면적 : </x:t>
  </x:si>
  <x:si>
    <x:t>설계수량</x:t>
  </x:si>
  <x:si>
    <x:t>산출단위</x:t>
  </x:si>
  <x:si>
    <x:t>단위환산</x:t>
  </x:si>
  <x:si>
    <x:t>환산수량</x:t>
  </x:si>
  <x:si>
    <x:t>구입수량</x:t>
  </x:si>
  <x:si>
    <x:t>구입단위</x:t>
  </x:si>
  <x:si>
    <x:t>마감산출서</x:t>
  </x:si>
  <x:si>
    <x:t>[ 작업설 ]</x:t>
  </x:si>
  <x:si>
    <x:t>[비  고]</x:t>
  </x:si>
  <x:si>
    <x:t>365코너</x:t>
  </x:si>
  <x:si>
    <x:t>신설공사</x:t>
  </x:si>
  <x:si>
    <x:t>철거공사</x:t>
  </x:si>
  <x:si>
    <x:t>강판후레싱</x:t>
  </x:si>
  <x:si>
    <x:t>7.35H</x:t>
  </x:si>
  <x:si>
    <x:t>2층창하부</x:t>
  </x:si>
  <x:si>
    <x:t>방풍실벽체</x:t>
  </x:si>
  <x:si>
    <x:t>좌측면도</x:t>
  </x:si>
  <x:si>
    <x:t>두겁하부</x:t>
  </x:si>
  <x:si>
    <x:t>우측면도</x:t>
  </x:si>
  <x:si>
    <x:t>기타공사</x:t>
  </x:si>
  <x:si>
    <x:t>전기판넬</x:t>
  </x:si>
  <x:si>
    <x:t>주출입구</x:t>
  </x:si>
  <x:si>
    <x:t>점자블럭포함</x:t>
  </x:si>
  <x:si>
    <x:t>충돌방지대</x:t>
  </x:si>
  <x:si>
    <x:t>가설공사</x:t>
  </x:si>
  <x:si>
    <x:t>품     명</x:t>
  </x:si>
  <x:si>
    <x:t>물가자료</x:t>
  </x:si>
  <x:si>
    <x:t>노무비의 5%</x:t>
  </x:si>
  <x:si>
    <x:t>(0.35+6.55+0.35)*0.1W</x:t>
  </x:si>
  <x:si>
    <x:t>직.노*9.6%</x:t>
  </x:si>
  <x:si>
    <x:t>(노)*3.8%</x:t>
  </x:si>
  <x:si>
    <x:t>(노)*0.87%</x:t>
  </x:si>
  <x:si>
    <x:t>(재+노+경)*6%</x:t>
  </x:si>
  <x:si>
    <x:t>(총원가)*10%</x:t>
  </x:si>
  <x:si>
    <x:t>0.1*3.14*(0.6+1.55+0.9H*3EA)</x:t>
  </x:si>
  <x:si>
    <x:t>4.3*8.6+0.4*8.9-(창:(1.4*1.4)*1)</x:t>
  </x:si>
  <x:si>
    <x:t>(12.65+1.1+4.5)*(0.4+0.2+0.2)</x:t>
  </x:si>
  <x:si>
    <x:t>공사명 : 표선우체국 대수선공사 &gt; 내,외부마감및보수공사</x:t>
  </x:si>
  <x:si>
    <x:t>1.2*1.7  ( H=1700 * W=1219 )</x:t>
  </x:si>
  <x:si>
    <x:t xml:space="preserve">                 구  분
 비   목</x:t>
  </x:si>
  <x:si>
    <x:t>노무비의 2%</x:t>
  </x:si>
  <x:si>
    <x:t>노무비의 3%</x:t>
  </x:si>
  <x:si>
    <x:t>주재료비의 6%</x:t>
  </x:si>
  <x:si>
    <x:t>주연료비의 2%</x:t>
  </x:si>
  <x:si>
    <x:t>(재+노)*5.078%</x:t>
  </x:si>
  <x:si>
    <x:t>(노+경+일)*10.51%</x:t>
  </x:si>
  <x:si>
    <x:t>(0.15*5.8H)*2면</x:t>
  </x:si>
  <x:si>
    <x:t>(0.33*2.9H)*2면</x:t>
  </x:si>
  <x:si>
    <x:t>부   가   가  치  세</x:t>
  </x:si>
  <x:si>
    <x:t>0.006*2.3TON</x:t>
  </x:si>
  <x:si>
    <x:t>안  전   관   리  비</x:t>
  </x:si>
  <x:si>
    <x:t>일  반   관   리  비</x:t>
  </x:si>
  <x:si>
    <x:t>순  공  사  원  가</x:t>
  </x:si>
  <x:si>
    <x:t>폐  기  물  처 리 비</x:t>
  </x:si>
  <x:si>
    <x:t>고  용  보   험   료</x:t>
  </x:si>
  <x:si>
    <x:t>연  금  보   험   료</x:t>
  </x:si>
  <x:si>
    <x:t>환  경  보   전   비</x:t>
  </x:si>
  <x:si>
    <x:t>건  강  보   험   료</x:t>
  </x:si>
  <x:si>
    <x:t>퇴 직 공 제 부 금 비</x:t>
  </x:si>
  <x:si>
    <x:t>간   접   노  무  비</x:t>
  </x:si>
  <x:si>
    <x:t>산  재  보   험   료</x:t>
  </x:si>
  <x:si>
    <x:t>직   접   재  료  비</x:t>
  </x:si>
  <x:si>
    <x:t>작업설.부산물 등(△)</x:t>
  </x:si>
  <x:si>
    <x:t>간   접   재  료  비</x:t>
  </x:si>
  <x:si>
    <x:t>공 사 원 가 계 산 서</x:t>
  </x:si>
  <x:si>
    <x:t>직   접   노  무  비</x:t>
  </x:si>
  <x:si>
    <x:t>집      계      표</x:t>
  </x:si>
  <x:si>
    <x:t>SST환풍기캡철거후 재설치</x:t>
  </x:si>
  <x:si>
    <x:t>참고자료&lt;품셈2-6-3&gt;</x:t>
  </x:si>
  <x:si>
    <x:t>난간기초 외부용 수성페인트칠</x:t>
  </x:si>
  <x:si>
    <x:t>PVC선홈통철거후 재설치</x:t>
  </x:si>
  <x:si>
    <x:t>난간기초 파손부분 철거</x:t>
  </x:si>
  <x:si>
    <x:t>환풍관 연장 L=200</x:t>
  </x:si>
  <x:si>
    <x:t>일 위 대 가 표 목 록</x:t>
  </x:si>
  <x:si>
    <x:t>일위 29호 이동식강관말비계</x:t>
  </x:si>
  <x:si>
    <x:t>벽체(관통슬리브), D200</x:t>
  </x:si>
  <x:si>
    <x:t>일위 19호 표면세척처리</x:t>
  </x:si>
  <x:si>
    <x:t>일위 22호 강판후레싱철거</x:t>
  </x:si>
  <x:si>
    <x:t>일위 27호 슬리브 설치</x:t>
  </x:si>
  <x:si>
    <x:t>건축15-1-2.2.나</x:t>
  </x:si>
  <x:si>
    <x:t>일위 18호 데코타일붙임</x:t>
  </x:si>
  <x:si>
    <x:t>일위 16호 안전페인트</x:t>
  </x:si>
  <x:si>
    <x:t>건축15-1-2.2.가</x:t>
  </x:si>
  <x:si>
    <x:t>일위  8호 모르타르배합</x:t>
  </x:si>
  <x:si>
    <x:t>인력마감, 구배가 없는 경우</x:t>
  </x:si>
  <x:si>
    <x:t>1:3, 체가름無,재료포함</x:t>
  </x:si>
  <x:si>
    <x:t>일위  4호 바탕만들기</x:t>
  </x:si>
  <x:si>
    <x:t>일위  3호 낙서방지페인트</x:t>
  </x:si>
  <x:si>
    <x:t>중기 24호 용접기 (교류)</x:t>
  </x:si>
  <x:si>
    <x:t>일위  2호 강관외줄비계</x:t>
  </x:si>
  <x:si>
    <x:t>일 위 대 가 명 세 서</x:t>
  </x:si>
  <x:si>
    <x:t>일위  1호 건축물현장정리</x:t>
  </x:si>
  <x:si>
    <x:t>중기 13호 배관파이프</x:t>
  </x:si>
  <x:si>
    <x:t>중기 10호 모르터 펌프</x:t>
  </x:si>
  <x:si>
    <x:t>중기 11호 모르터 믹서</x:t>
  </x:si>
  <x:si>
    <x:t>15TON 덤프,중간처리</x:t>
  </x:si>
  <x:si>
    <x:t>건설폐기물수집운반비(운반비)</x:t>
  </x:si>
  <x:si>
    <x:t>품          명</x:t>
  </x:si>
  <x:si>
    <x:t>규          격</x:t>
  </x:si>
  <x:si>
    <x:t>에코노 3.0*450*450</x:t>
  </x:si>
  <x:si>
    <x:t>투명(SB-AL-04)</x:t>
  </x:si>
  <x:si>
    <x:t>흑색.SB-AP-923</x:t>
  </x:si>
  <x:si>
    <x:t>건설폐기물수집운반비(상차비)</x:t>
  </x:si>
  <x:si>
    <x:t>D=48.6*2.3mm</x:t>
  </x:si>
  <x:si>
    <x:t>KSM6060-1종,알키드,페놀에나멜</x:t>
  </x:si>
  <x:si>
    <x:t>일위  6호 난간기초 외부용 수성페인트칠</x:t>
  </x:si>
  <x:si>
    <x:t>T:24mm,인력마감(구배無), 재료포함</x:t>
  </x:si>
  <x:si>
    <x:t>일위 25호 PVC선홈통철거후 재설치</x:t>
  </x:si>
  <x:si>
    <x:t>일위 26호 SST환풍기캡철거후 재설치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</x:si>
</x:sst>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8">
    <x:numFmt numFmtId="164" formatCode="#,###,###,##0"/>
    <x:numFmt numFmtId="165" formatCode="#,###,###,##0.0####"/>
    <x:numFmt numFmtId="166" formatCode="###,###,##0.0######"/>
    <x:numFmt numFmtId="167" formatCode="###,###,##0.0#####"/>
    <x:numFmt numFmtId="168" formatCode="###,###,###,###"/>
    <x:numFmt numFmtId="169" formatCode="###,###,###,##0.0###"/>
    <x:numFmt numFmtId="170" formatCode="###,###,###,###,###"/>
    <x:numFmt numFmtId="171" formatCode="0.0%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7"/>
      <x:color rgb="ff000000"/>
    </x:font>
    <x:font>
      <x:name val="굴림체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x:b val="1"/>
          <x:u/>
          <hs:underlineShape val="solid"/>
          <hs:underlineType val="1"/>
          <hs:underlineColor rgb="ff000000"/>
        </x:font>
      </mc:Choice>
      <mc:Fallback>
        <x:font>
          <x:name val="굴림체"/>
          <x:sz val="20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eeeee"/>
        <x:bgColor indexed="64"/>
      </x:patternFill>
    </x:fill>
    <x:fill>
      <x:patternFill patternType="solid">
        <x:fgColor rgb="ffc0c0c0"/>
        <x:bgColor indexed="64"/>
      </x:patternFill>
    </x:fill>
  </x:fills>
  <x:borders count="1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 diagonalDown="1"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  <x:diagonal style="thin">
        <x:color indexed="64"/>
      </x:diagonal>
    </x:border>
    <x:border diagonalDown="1">
      <x:left>
        <x:color indexed="64"/>
      </x:left>
      <x:right>
        <x:color indexed="64"/>
      </x:right>
      <x:top style="thin">
        <x:color indexed="64"/>
      </x:top>
      <x:bottom>
        <x:color indexed="64"/>
      </x:bottom>
      <x:diagonal style="thin">
        <x:color indexed="64"/>
      </x:diagonal>
    </x:border>
    <x:border diagonalDown="1"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  <x:diagonal style="thin">
        <x:color indexed="64"/>
      </x:diagonal>
    </x:border>
    <x:border diagonalDown="1"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  <x:diagonal style="thin">
        <x:color indexed="64"/>
      </x:diagonal>
    </x:border>
    <x:border diagonalDown="1">
      <x:left>
        <x:color indexed="64"/>
      </x:left>
      <x:right>
        <x:color indexed="64"/>
      </x:right>
      <x:top>
        <x:color indexed="64"/>
      </x:top>
      <x:bottom style="thin">
        <x:color indexed="64"/>
      </x:bottom>
      <x:diagonal style="thin">
        <x:color indexed="64"/>
      </x:diagonal>
    </x:border>
    <x:border diagonalDown="1"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 style="thin">
        <x:color indexed="64"/>
      </x:diagonal>
    </x:border>
  </x:borders>
  <x:cellStyleXfs count="15"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123">
    <x:xf numFmtId="0" fontId="0" fillId="0" borderId="0" xfId="0" applyNumberFormat="1">
      <x:alignment horizontal="general" vertical="center"/>
    </x:xf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x:xf numFmtId="0" fontId="7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0" borderId="1" xfId="0" quotePrefix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quotePrefix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quotePrefix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quotePrefix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quotePrefix="1" applyNumberFormat="1" applyFont="1" applyBorder="1" applyAlignment="1">
          <x:alignment horizontal="right" vertical="center" shrinkToFit="1"/>
        </x:xf>
      </mc:Fallback>
    </mc:AlternateContent>
    <x:xf numFmtId="0" fontId="7" fillId="0" borderId="1" xfId="0" quotePrefix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5" fontId="7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0" applyNumberFormat="1" applyFont="1" applyBorder="1" applyAlignment="1">
          <x:alignment horizontal="right" vertical="center" shrinkToFit="1"/>
        </x:xf>
      </mc:Fallback>
    </mc:AlternateContent>
    <x:xf numFmtId="0" fontId="7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x:xf numFmtId="0" fontId="7" fillId="0" borderId="1" xfId="0" applyNumberFormat="1" applyFont="1" applyBorder="1" applyAlignment="1">
      <x:alignment horizontal="left" vertical="center" shrinkToFit="1"/>
    </x:xf>
    <x:xf numFmtId="0" fontId="8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right" vertical="center"/>
        </x:xf>
      </mc:Fallback>
    </mc:AlternateContent>
    <x:xf numFmtId="0" fontId="8" fillId="0" borderId="0" xfId="0" applyNumberFormat="1" applyFont="1" applyAlignment="1">
      <x:alignment horizontal="left" vertical="center"/>
    </x:xf>
    <x:xf numFmtId="0" fontId="8" fillId="0" borderId="0" xfId="0" quotePrefix="1" applyNumberFormat="1" applyFont="1" applyAlignment="1">
      <x:alignment horizontal="general" vertical="center"/>
    </x:xf>
    <x:xf numFmtId="10" fontId="8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quotePrefix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1" xfId="0" quotePrefix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quotePrefix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1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1" xfId="0" applyNumberFormat="1" applyFont="1" applyBorder="1" applyAlignment="1">
          <x:alignment horizontal="right" vertical="center" shrinkToFit="1"/>
        </x:xf>
      </mc:Fallback>
    </mc:AlternateContent>
    <x:xf numFmtId="0" fontId="8" fillId="0" borderId="1" xfId="0" quotePrefix="1" applyNumberFormat="1" applyFont="1" applyBorder="1" applyAlignment="1">
      <x:alignment horizontal="left" vertical="center" shrinkToFit="1"/>
    </x:xf>
    <x:xf numFmtId="0" fontId="8" fillId="0" borderId="1" xfId="0" applyNumberFormat="1" applyFont="1" applyBorder="1" applyAlignment="1">
      <x:alignment horizontal="left" vertical="center" shrinkToFit="1"/>
    </x:xf>
    <x:xf numFmtId="0" fontId="8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0" borderId="1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1" xfId="0" quotePrefix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1" xfId="0" quotePrefix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1" xfId="0" quotePrefix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1" xfId="0" quotePrefix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quotePrefix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quotePrefix="1" applyNumberFormat="1" applyFont="1" applyBorder="1" applyAlignment="1">
          <x:alignment horizontal="center" vertical="center" shrinkToFit="1"/>
        </x:xf>
      </mc:Fallback>
    </mc:AlternateContent>
    <x:xf numFmtId="0" fontId="8" fillId="0" borderId="1" xfId="0" quotePrefix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0" borderId="1" xfId="0" applyNumberFormat="1" applyFont="1" applyBorder="1" applyAlignment="1">
          <x:alignment horizontal="right" vertical="center" shrinkToFit="1"/>
        </x:xf>
      </mc:Fallback>
    </mc:AlternateContent>
    <x:xf numFmtId="0" fontId="8" fillId="0" borderId="1" xfId="0" quotePrefix="1" applyNumberFormat="1" applyFont="1" applyBorder="1" applyAlignment="1">
      <x:alignment horizontal="left" vertical="center" shrinkToFit="1"/>
    </x:xf>
    <x:xf numFmtId="0" fontId="8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right" vertical="center" shrinkToFit="1"/>
        </x:xf>
      </mc:Fallback>
    </mc:AlternateContent>
    <x:xf numFmtId="0" fontId="8" fillId="0" borderId="1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70" fontId="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8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8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8" fillId="0" borderId="1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8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8" fillId="0" borderId="1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quotePrefix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quotePrefix="1" applyNumberFormat="1" applyFont="1" applyBorder="1" applyAlignment="1">
          <x:alignment horizontal="right" vertical="center" shrinkToFit="1"/>
        </x:xf>
      </mc:Fallback>
    </mc:AlternateContent>
    <x:xf numFmtId="0" fontId="8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8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8" fillId="0" borderId="1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8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8" fillId="0" borderId="1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quotePrefix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quotePrefix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quotePrefix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quotePrefix="1" applyNumberFormat="1" applyFont="1" applyBorder="1" applyAlignment="1">
          <x:alignment horizontal="center" vertical="center" shrinkToFit="1"/>
        </x:xf>
      </mc:Fallback>
    </mc:AlternateContent>
    <x:xf numFmtId="0" fontId="0" fillId="0" borderId="0" xfId="0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8" fontId="8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0" borderId="1" xfId="0" applyNumberFormat="1" applyFont="1" applyBorder="1" applyAlignment="1">
          <x:alignment horizontal="center" vertical="center" shrinkToFit="1"/>
        </x:xf>
      </mc:Fallback>
    </mc:AlternateContent>
    <x:xf numFmtId="0" fontId="8" fillId="0" borderId="2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8" fillId="0" borderId="2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8" fillId="0" borderId="2" xfId="0" applyNumberFormat="1" applyFont="1" applyBorder="1" applyAlignment="1">
          <x:alignment horizontal="right" vertical="center" shrinkToFit="1"/>
        </x:xf>
      </mc:Fallback>
    </mc:AlternateContent>
    <x:xf numFmtId="0" fontId="8" fillId="0" borderId="2" xfId="0" applyNumberFormat="1" applyFont="1" applyBorder="1" applyAlignment="1">
      <x:alignment horizontal="left" vertical="center" shrinkToFit="1"/>
    </x:xf>
    <x:xf numFmtId="0" fontId="9" fillId="0" borderId="0" xfId="0" applyNumberFormat="1" applyFont="1" applyAlignment="1">
      <x:alignment horizontal="general" vertical="center"/>
    </x:xf>
    <x:xf numFmtId="170" fontId="9" fillId="0" borderId="0" xfId="0" applyNumberFormat="1" applyFont="1" applyAlignment="1">
      <x:alignment horizontal="general" vertical="center"/>
    </x:xf>
    <x:xf numFmtId="0" fontId="9" fillId="0" borderId="0" xfId="0" quotePrefix="1" applyNumberFormat="1" applyFont="1" applyAlignment="1">
      <x:alignment horizontal="general" vertical="center"/>
    </x:xf>
    <x:xf numFmtId="9" fontId="9" fillId="0" borderId="0" xfId="0" applyNumberFormat="1" applyFont="1" applyAlignment="1">
      <x:alignment horizontal="general" vertical="center"/>
    </x:xf>
    <x:xf numFmtId="10" fontId="9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 shrinkToFit="1"/>
        </x:xf>
      </mc:Fallback>
    </mc:AlternateContent>
    <x:xf numFmtId="0" fontId="9" fillId="0" borderId="0" xfId="0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3" xfId="0" quotePrefix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quotePrefix="1" applyNumberFormat="1" applyFont="1" applyBorder="1" applyAlignment="1">
          <x:alignment horizontal="center" vertical="center" shrinkToFit="1"/>
        </x:xf>
      </mc:Fallback>
    </mc:AlternateContent>
    <x:xf numFmtId="0" fontId="9" fillId="0" borderId="3" xfId="0" quotePrefix="1" applyNumberFormat="1" applyFont="1" applyBorder="1" applyAlignment="1">
      <x:alignment horizontal="general" vertical="center" shrinkToFit="1"/>
    </x:xf>
    <x:xf numFmtId="170" fontId="9" fillId="0" borderId="3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4" xfId="0" quotePrefix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quotePrefix="1" applyNumberFormat="1" applyFont="1" applyBorder="1" applyAlignment="1">
          <x:alignment horizontal="center" vertical="center" shrinkToFit="1"/>
        </x:xf>
      </mc:Fallback>
    </mc:AlternateContent>
    <x:xf numFmtId="0" fontId="9" fillId="0" borderId="4" xfId="0" quotePrefix="1" applyNumberFormat="1" applyFont="1" applyBorder="1" applyAlignment="1">
      <x:alignment horizontal="general" vertical="center" shrinkToFit="1"/>
    </x:xf>
    <x:xf numFmtId="170" fontId="9" fillId="0" borderId="4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5" xfId="0" quotePrefix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quotePrefix="1" applyNumberFormat="1" applyFont="1" applyBorder="1" applyAlignment="1">
          <x:alignment horizontal="center" vertical="center" shrinkToFit="1"/>
        </x:xf>
      </mc:Fallback>
    </mc:AlternateContent>
    <x:xf numFmtId="0" fontId="9" fillId="0" borderId="5" xfId="0" quotePrefix="1" applyNumberFormat="1" applyFont="1" applyBorder="1" applyAlignment="1">
      <x:alignment horizontal="general" vertical="center" shrinkToFit="1"/>
    </x:xf>
    <x:xf numFmtId="170" fontId="9" fillId="0" borderId="5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1" xfId="0" quotePrefix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quotePrefix="1" applyNumberFormat="1" applyFont="1" applyBorder="1" applyAlignment="1">
          <x:alignment horizontal="center" vertical="center" shrinkToFit="1"/>
        </x:xf>
      </mc:Fallback>
    </mc:AlternateContent>
    <x:xf numFmtId="0" fontId="9" fillId="0" borderId="1" xfId="0" quotePrefix="1" applyNumberFormat="1" applyFont="1" applyBorder="1" applyAlignment="1">
      <x:alignment horizontal="general" vertical="center" shrinkToFit="1"/>
    </x:xf>
    <x:xf numFmtId="170" fontId="9" fillId="0" borderId="1" xfId="0" applyNumberFormat="1" applyFont="1" applyBorder="1" applyAlignment="1">
      <x:alignment horizontal="general" vertical="center" shrinkToFit="1"/>
    </x:xf>
    <x:xf numFmtId="0" fontId="9" fillId="0" borderId="5" xfId="0" applyNumberFormat="1" applyFont="1" applyBorder="1" applyAlignment="1">
      <x:alignment horizontal="general" vertical="center" shrinkToFit="1"/>
    </x:xf>
    <x:xf numFmtId="0" fontId="9" fillId="0" borderId="4" xfId="0" applyNumberFormat="1" applyFont="1" applyBorder="1" applyAlignment="1">
      <x:alignment horizontal="general" vertical="center" shrinkToFit="1"/>
    </x:xf>
    <x:xf numFmtId="0" fontId="9" fillId="0" borderId="1" xfId="0" applyNumberFormat="1" applyFont="1" applyBorder="1" applyAlignment="1">
      <x:alignment horizontal="general" vertical="center" shrinkToFit="1"/>
    </x:xf>
    <x:xf numFmtId="0" fontId="8" fillId="0" borderId="1" xfId="0" applyNumberFormat="1" applyFont="1" applyBorder="1" applyAlignment="1">
      <x:alignment horizontal="general" vertical="center" shrinkToFit="1"/>
    </x:xf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1" xfId="0" applyNumberFormat="1" applyFont="1" applyBorder="1" applyAlignment="1">
      <x:alignment horizontal="general" vertical="center"/>
    </x:xf>
    <x:xf numFmtId="49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49" fontId="7" fillId="0" borderId="1" xfId="0" applyNumberFormat="1" applyFont="1" applyBorder="1" applyAlignment="1">
      <x:alignment horizontal="general" vertical="center"/>
    </x:xf>
    <x:xf numFmtId="49" fontId="7" fillId="0" borderId="1" xfId="0" applyNumberFormat="1" applyFont="1" applyBorder="1" applyAlignment="1">
      <x:alignment horizontal="general" vertical="center" wrapText="1"/>
    </x:xf>
    <x:xf numFmtId="0" fontId="7" fillId="0" borderId="1" xfId="0" applyNumberFormat="1" applyFont="1" applyBorder="1" applyAlignment="1">
      <x:alignment horizontal="general" vertical="center"/>
    </x:xf>
    <x:xf numFmtId="0" fontId="7" fillId="0" borderId="1" xfId="0" applyNumberFormat="1" applyFont="1" applyBorder="1" applyAlignment="1">
      <x:alignment horizontal="general" vertical="center" wrapText="1"/>
    </x:xf>
    <x:xf numFmtId="0" fontId="8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6" xfId="0" quotePrefix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quotePrefix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quotePrefix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quotePrefix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quotePrefix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quotePrefix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 shrinkToFit="1"/>
        </x:xf>
      </mc:Fallback>
    </mc:AlternateContent>
    <x:xf numFmtId="0" fontId="9" fillId="0" borderId="0" xfId="0" applyNumberFormat="1" applyFont="1" applyAlignment="1">
      <x:alignment horizontal="general" vertical="center" shrinkToFit="1"/>
    </x:xf>
    <x:xf numFmtId="0" fontId="9" fillId="2" borderId="9" xfId="0" applyNumberFormat="1" applyFont="1" applyFill="1" applyBorder="1" applyAlignment="1">
      <x:alignment horizontal="left" vertical="center" wrapText="1" shrinkToFit="1"/>
    </x:xf>
    <x:xf numFmtId="0" fontId="9" fillId="2" borderId="10" xfId="0" applyNumberFormat="1" applyFont="1" applyFill="1" applyBorder="1" applyAlignment="1">
      <x:alignment horizontal="left" vertical="center" shrinkToFit="1"/>
    </x:xf>
    <x:xf numFmtId="0" fontId="9" fillId="2" borderId="11" xfId="0" applyNumberFormat="1" applyFont="1" applyFill="1" applyBorder="1" applyAlignment="1">
      <x:alignment horizontal="left" vertical="center" shrinkToFit="1"/>
    </x:xf>
    <x:xf numFmtId="0" fontId="9" fillId="0" borderId="12" xfId="0" applyNumberFormat="1" applyFont="1" applyBorder="1" applyAlignment="1">
      <x:alignment horizontal="left" vertical="center" shrinkToFit="1"/>
    </x:xf>
    <x:xf numFmtId="0" fontId="9" fillId="0" borderId="13" xfId="0" applyNumberFormat="1" applyFont="1" applyBorder="1" applyAlignment="1">
      <x:alignment horizontal="left" vertical="center" shrinkToFit="1"/>
    </x:xf>
    <x:xf numFmtId="0" fontId="9" fillId="0" borderId="14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textRotation="255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textRotation="255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textRotation="255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textRotation="255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Border="1" applyAlignment="1" hs:applyExtension="1">
          <x:alignment horizontal="center" vertical="center" textRotation="255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Border="1" applyAlignment="1">
          <x:alignment horizontal="center" vertical="center" textRotation="255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0" xfId="0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 shrinkToFit="1"/>
        </x:xf>
      </mc:Fallback>
    </mc:AlternateContent>
    <x:xf numFmtId="0" fontId="8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0" borderId="0" xfId="0" applyNumberFormat="1" applyFont="1" applyAlignment="1">
      <x:alignment horizontal="general" vertical="center" shrinkToFit="1"/>
    </x:xf>
    <x:xf numFmtId="0" fontId="13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Alignment="1">
          <x:alignment horizontal="center" vertical="center"/>
        </x:xf>
      </mc:Fallback>
    </mc:AlternateContent>
    <x:xf numFmtId="0" fontId="15" fillId="0" borderId="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0" borderId="0" xfId="0" applyNumberFormat="1" applyFont="1" applyAlignment="1">
          <x:alignment horizontal="center" vertical="center"/>
        </x:xf>
      </mc:Fallback>
    </mc:AlternateContent>
    <x:xf numFmtId="171" fontId="9" fillId="0" borderId="0" xfId="0" applyNumberFormat="1" applyFont="1" applyAlignment="1">
      <x:alignment horizontal="general" vertical="center"/>
    </x:xf>
  </x:cellXfs>
  <x:cellStyles count="1"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19d86"/>
    <x:pageSetUpPr autoPageBreaks="1" fitToPage="1"/>
  </x:sheetPr>
  <x:dimension ref="A1:J31"/>
  <x:sheetViews>
    <x:sheetView tabSelected="1" topLeftCell="B1" zoomScaleNormal="100" workbookViewId="0">
      <x:selection activeCell="A1" activeCellId="0" sqref="A1:F1"/>
    </x:sheetView>
  </x:sheetViews>
  <x:sheetFormatPr defaultColWidth="9.00390625" defaultRowHeight="11.050000000000001"/>
  <x:cols>
    <x:col min="1" max="2" width="2.75" style="65" customWidth="1"/>
    <x:col min="3" max="3" width="24.625" style="65" customWidth="1"/>
    <x:col min="4" max="4" width="58.625" style="60" customWidth="1"/>
    <x:col min="5" max="5" width="14.625" style="60" customWidth="1"/>
    <x:col min="6" max="6" width="17.625" style="60" customWidth="1"/>
    <x:col min="7" max="7" width="9.00390625" style="60" hidden="1"/>
    <x:col min="8" max="8" width="9.00390625" style="60" hidden="1" bestFit="1" customWidth="1"/>
    <x:col min="9" max="9" width="9.00390625" style="60" hidden="1"/>
    <x:col min="10" max="10" width="9.00390625" style="60" hidden="1" bestFit="1" customWidth="1"/>
    <x:col min="11" max="11" width="9" style="60" hidden="1"/>
    <x:col min="12" max="16384" width="9" style="60"/>
  </x:cols>
  <x:sheetData>
    <x:row r="1" spans="1:6" ht="30" customHeight="1">
      <x:c r="A1" s="98" t="s">
        <x:v>497</x:v>
      </x:c>
      <x:c r="B1" s="98"/>
      <x:c r="C1" s="98"/>
      <x:c r="D1" s="98"/>
      <x:c r="E1" s="98"/>
      <x:c r="F1" s="98"/>
    </x:row>
    <x:row r="2" spans="1:6" ht="17.100000000000001" customHeight="1">
      <x:c r="A2" s="66"/>
      <x:c r="B2" s="66"/>
      <x:c r="C2" s="66"/>
      <x:c r="D2" s="67"/>
      <x:c r="E2" s="67"/>
      <x:c r="F2" s="67"/>
    </x:row>
    <x:row r="3" spans="1:6" ht="17.100000000000001" customHeight="1">
      <x:c r="A3" s="99" t="s">
        <x:v>240</x:v>
      </x:c>
      <x:c r="B3" s="99"/>
      <x:c r="C3" s="99"/>
      <x:c r="D3" s="99"/>
      <x:c r="E3" s="99"/>
      <x:c r="F3" s="99"/>
    </x:row>
    <x:row r="4" spans="1:6" ht="17.100000000000001" customHeight="1">
      <x:c r="A4" s="100" t="s">
        <x:v>472</x:v>
      </x:c>
      <x:c r="B4" s="101"/>
      <x:c r="C4" s="102"/>
      <x:c r="D4" s="106" t="s">
        <x:v>80</x:v>
      </x:c>
      <x:c r="E4" s="106" t="s">
        <x:v>79</x:v>
      </x:c>
      <x:c r="F4" s="106" t="s">
        <x:v>425</x:v>
      </x:c>
    </x:row>
    <x:row r="5" spans="1:6" ht="17.100000000000001" customHeight="1">
      <x:c r="A5" s="103"/>
      <x:c r="B5" s="104"/>
      <x:c r="C5" s="105"/>
      <x:c r="D5" s="107"/>
      <x:c r="E5" s="107"/>
      <x:c r="F5" s="107"/>
    </x:row>
    <x:row r="6" spans="1:9" ht="17.100000000000001" customHeight="1">
      <x:c r="A6" s="108" t="s">
        <x:v>485</x:v>
      </x:c>
      <x:c r="B6" s="108" t="s">
        <x:v>163</x:v>
      </x:c>
      <x:c r="C6" s="68" t="s">
        <x:v>494</x:v>
      </x:c>
      <x:c r="D6" s="69" t="s">
        <x:v>220</x:v>
      </x:c>
      <x:c r="E6" s="70">
        <x:f>집계표!F20-집계표!AL20</x:f>
        <x:v>14131386</x:v>
      </x:c>
      <x:c r="F6" s="69" t="s">
        <x:v>220</x:v>
      </x:c>
      <x:c r="G6" s="62" t="s">
        <x:v>140</x:v>
      </x:c>
      <x:c r="I6" s="61">
        <x:f>E6</x:f>
        <x:v>14131386</x:v>
      </x:c>
    </x:row>
    <x:row r="7" spans="1:9" ht="17.100000000000001" customHeight="1">
      <x:c r="A7" s="109"/>
      <x:c r="B7" s="109"/>
      <x:c r="C7" s="71" t="s">
        <x:v>496</x:v>
      </x:c>
      <x:c r="D7" s="72" t="s">
        <x:v>220</x:v>
      </x:c>
      <x:c r="E7" s="73">
        <x:f ca="1">ROUNDDOWN(SUMIF($G$6:$G$31,"A1",$E$6:$E$31)*J7,0)</x:f>
        <x:v>0</x:v>
      </x:c>
      <x:c r="F7" s="72" t="s">
        <x:v>220</x:v>
      </x:c>
      <x:c r="G7" s="62" t="s">
        <x:v>141</x:v>
      </x:c>
      <x:c r="I7" s="61">
        <x:f ca="1">E7</x:f>
        <x:v>0</x:v>
      </x:c>
    </x:row>
    <x:row r="8" spans="1:9" ht="17.100000000000001" customHeight="1">
      <x:c r="A8" s="109"/>
      <x:c r="B8" s="109"/>
      <x:c r="C8" s="74" t="s">
        <x:v>495</x:v>
      </x:c>
      <x:c r="D8" s="75" t="s">
        <x:v>220</x:v>
      </x:c>
      <x:c r="E8" s="76">
        <x:f>집계표!T20</x:f>
        <x:v>-14400</x:v>
      </x:c>
      <x:c r="F8" s="75" t="s">
        <x:v>220</x:v>
      </x:c>
      <x:c r="G8" s="62" t="s">
        <x:v>139</x:v>
      </x:c>
      <x:c r="I8" s="61">
        <x:f>E8</x:f>
        <x:v>-14400</x:v>
      </x:c>
    </x:row>
    <x:row r="9" spans="1:9" ht="17.100000000000001" customHeight="1">
      <x:c r="A9" s="109"/>
      <x:c r="B9" s="110"/>
      <x:c r="C9" s="77" t="s">
        <x:v>238</x:v>
      </x:c>
      <x:c r="D9" s="78" t="s">
        <x:v>220</x:v>
      </x:c>
      <x:c r="E9" s="79">
        <x:f ca="1">SUM(E6:E7)-ABS(SUMIF($G$6:$G$31,"A3",$E$6:$E$31))</x:f>
        <x:v>14116986</x:v>
      </x:c>
      <x:c r="F9" s="78" t="s">
        <x:v>220</x:v>
      </x:c>
      <x:c r="G9" s="62" t="s">
        <x:v>138</x:v>
      </x:c>
      <x:c r="I9" s="61">
        <x:f ca="1">E9</x:f>
        <x:v>14116986</x:v>
      </x:c>
    </x:row>
    <x:row r="10" spans="1:9" ht="17.100000000000001" customHeight="1">
      <x:c r="A10" s="109"/>
      <x:c r="B10" s="108" t="s">
        <x:v>117</x:v>
      </x:c>
      <x:c r="C10" s="68" t="s">
        <x:v>498</x:v>
      </x:c>
      <x:c r="D10" s="69" t="s">
        <x:v>220</x:v>
      </x:c>
      <x:c r="E10" s="70">
        <x:f>집계표!H20</x:f>
        <x:v>8027811</x:v>
      </x:c>
      <x:c r="F10" s="69" t="s">
        <x:v>220</x:v>
      </x:c>
      <x:c r="G10" s="62" t="s">
        <x:v>136</x:v>
      </x:c>
      <x:c r="I10" s="61">
        <x:f>E10</x:f>
        <x:v>8027811</x:v>
      </x:c>
    </x:row>
    <x:row r="11" spans="1:10" ht="17.100000000000001" customHeight="1">
      <x:c r="A11" s="109"/>
      <x:c r="B11" s="109"/>
      <x:c r="C11" s="74" t="s">
        <x:v>492</x:v>
      </x:c>
      <x:c r="D11" s="80" t="str">
        <x:f>"직.노*"&amp;H11*100&amp;"%"</x:f>
        <x:v>직.노*9.6%</x:v>
      </x:c>
      <x:c r="E11" s="76">
        <x:f>ROUNDDOWN(SUMIF($G$6:$G$31,"B1",$E$6:$E$31)*J11,0)</x:f>
        <x:v>770669</x:v>
      </x:c>
      <x:c r="F11" s="75" t="s">
        <x:v>220</x:v>
      </x:c>
      <x:c r="G11" s="62" t="s">
        <x:v>137</x:v>
      </x:c>
      <x:c r="H11" s="122">
        <x:v>0.095999999999999996</x:v>
      </x:c>
      <x:c r="I11" s="61">
        <x:f>ROUNDDOWN(SUMIF($G$6:$G$31,"B1",$I$6:$I$31)*H11,0)</x:f>
        <x:v>770669</x:v>
      </x:c>
      <x:c r="J11" s="122">
        <x:v>0.095999999999999996</x:v>
      </x:c>
    </x:row>
    <x:row r="12" spans="1:9" ht="17.100000000000001" customHeight="1">
      <x:c r="A12" s="109"/>
      <x:c r="B12" s="110"/>
      <x:c r="C12" s="77" t="s">
        <x:v>231</x:v>
      </x:c>
      <x:c r="D12" s="78" t="s">
        <x:v>220</x:v>
      </x:c>
      <x:c r="E12" s="79">
        <x:f>SUM(E10:E11)</x:f>
        <x:v>8798480</x:v>
      </x:c>
      <x:c r="F12" s="78" t="s">
        <x:v>220</x:v>
      </x:c>
      <x:c r="G12" s="62" t="s">
        <x:v>135</x:v>
      </x:c>
      <x:c r="I12" s="61">
        <x:f>E12</x:f>
        <x:v>8798480</x:v>
      </x:c>
    </x:row>
    <x:row r="13" spans="1:9" ht="17.100000000000001" customHeight="1">
      <x:c r="A13" s="109"/>
      <x:c r="B13" s="108" t="s">
        <x:v>341</x:v>
      </x:c>
      <x:c r="C13" s="68" t="s">
        <x:v>236</x:v>
      </x:c>
      <x:c r="D13" s="69" t="s">
        <x:v>220</x:v>
      </x:c>
      <x:c r="E13" s="70">
        <x:f>집계표!R20</x:f>
        <x:v>728761</x:v>
      </x:c>
      <x:c r="F13" s="69" t="s">
        <x:v>220</x:v>
      </x:c>
      <x:c r="G13" s="62" t="s">
        <x:v>134</x:v>
      </x:c>
      <x:c r="I13" s="61">
        <x:f>E13</x:f>
        <x:v>728761</x:v>
      </x:c>
    </x:row>
    <x:row r="14" spans="1:10" ht="17.100000000000001" customHeight="1">
      <x:c r="A14" s="109"/>
      <x:c r="B14" s="109"/>
      <x:c r="C14" s="71" t="s">
        <x:v>493</x:v>
      </x:c>
      <x:c r="D14" s="81" t="str">
        <x:f>"(노)*"&amp;H14*100&amp;"%"</x:f>
        <x:v>(노)*3.8%</x:v>
      </x:c>
      <x:c r="E14" s="73">
        <x:f>ROUNDDOWN((SUMIF($G$6:$G$31,"B",$E$6:$E$31))*J14,0)</x:f>
        <x:v>334342</x:v>
      </x:c>
      <x:c r="F14" s="72" t="s">
        <x:v>220</x:v>
      </x:c>
      <x:c r="G14" s="62" t="s">
        <x:v>133</x:v>
      </x:c>
      <x:c r="H14" s="64">
        <x:v>0.038</x:v>
      </x:c>
      <x:c r="I14" s="61">
        <x:f ca="1">ROUNDDOWN((SUMIF($G$6:$G$31,"B",$I$6:$I$31))*H14,0)</x:f>
        <x:v>334342</x:v>
      </x:c>
      <x:c r="J14" s="64">
        <x:v>0.038</x:v>
      </x:c>
    </x:row>
    <x:row r="15" spans="1:10" ht="17.100000000000001" customHeight="1">
      <x:c r="A15" s="109"/>
      <x:c r="B15" s="109"/>
      <x:c r="C15" s="71" t="s">
        <x:v>487</x:v>
      </x:c>
      <x:c r="D15" s="81" t="str">
        <x:f>"(노)*"&amp;H15*100&amp;"%"</x:f>
        <x:v>(노)*0.87%</x:v>
      </x:c>
      <x:c r="E15" s="73">
        <x:f>ROUNDDOWN((SUMIF($G$6:$G$31,"B",$E$6:$E$31))*J15,0)</x:f>
        <x:v>76546</x:v>
      </x:c>
      <x:c r="F15" s="72" t="s">
        <x:v>220</x:v>
      </x:c>
      <x:c r="G15" s="62" t="s">
        <x:v>132</x:v>
      </x:c>
      <x:c r="H15" s="64">
        <x:v>0.0086999999999999988</x:v>
      </x:c>
      <x:c r="I15" s="61">
        <x:f>ROUNDDOWN((SUMIF($G$6:$G$31,"B",$I$6:$I$31))*H15,0)</x:f>
        <x:v>76546</x:v>
      </x:c>
      <x:c r="J15" s="64">
        <x:v>0.0086999999999999988</x:v>
      </x:c>
    </x:row>
    <x:row r="16" spans="1:9" ht="17.100000000000001" customHeight="1">
      <x:c r="A16" s="109"/>
      <x:c r="B16" s="109"/>
      <x:c r="C16" s="71" t="s">
        <x:v>490</x:v>
      </x:c>
      <x:c r="D16" s="72" t="s">
        <x:v>220</x:v>
      </x:c>
      <x:c r="E16" s="73">
        <x:f>ROUNDDOWN((SUMIF($G$6:$G$31,"B1",$E$6:$E$31))*J16,0)</x:f>
        <x:v>0</x:v>
      </x:c>
      <x:c r="F16" s="72" t="s">
        <x:v>427</x:v>
      </x:c>
      <x:c r="G16" s="62" t="s">
        <x:v>131</x:v>
      </x:c>
      <x:c r="I16" s="61">
        <x:f>ROUNDDOWN((SUMIF($G$6:$G$31,"B1",$I$6:$I$31))*H16,0)</x:f>
        <x:v>0</x:v>
      </x:c>
    </x:row>
    <x:row r="17" spans="1:9" ht="17.100000000000001" customHeight="1">
      <x:c r="A17" s="109"/>
      <x:c r="B17" s="109"/>
      <x:c r="C17" s="71" t="s">
        <x:v>488</x:v>
      </x:c>
      <x:c r="D17" s="72" t="s">
        <x:v>220</x:v>
      </x:c>
      <x:c r="E17" s="73">
        <x:f>ROUNDDOWN((SUMIF($G$6:$G$31,"B1",$E$6:$E$31))*J17,0)</x:f>
        <x:v>0</x:v>
      </x:c>
      <x:c r="F17" s="72" t="s">
        <x:v>427</x:v>
      </x:c>
      <x:c r="G17" s="62" t="s">
        <x:v>130</x:v>
      </x:c>
      <x:c r="I17" s="61">
        <x:f>ROUNDDOWN((SUMIF($G$6:$G$31,"B1",$I$6:$I$31))*H17,0)</x:f>
        <x:v>0</x:v>
      </x:c>
    </x:row>
    <x:row r="18" spans="1:9" ht="17.100000000000001" customHeight="1">
      <x:c r="A18" s="109"/>
      <x:c r="B18" s="109"/>
      <x:c r="C18" s="71" t="s">
        <x:v>82</x:v>
      </x:c>
      <x:c r="D18" s="72" t="s">
        <x:v>220</x:v>
      </x:c>
      <x:c r="E18" s="73">
        <x:f>ROUNDDOWN((SUMIF($G$6:$G$31,"C12",$E$6:$E$31))*J18,0)</x:f>
        <x:v>0</x:v>
      </x:c>
      <x:c r="F18" s="72" t="s">
        <x:v>427</x:v>
      </x:c>
      <x:c r="G18" s="62" t="s">
        <x:v>129</x:v>
      </x:c>
      <x:c r="I18" s="61">
        <x:f>ROUNDDOWN((SUMIF($G$6:$G$31,"C12",$I$6:$I$31))*H18,0)</x:f>
        <x:v>0</x:v>
      </x:c>
    </x:row>
    <x:row r="19" spans="1:9" ht="17.100000000000001" customHeight="1">
      <x:c r="A19" s="109"/>
      <x:c r="B19" s="109"/>
      <x:c r="C19" s="71" t="s">
        <x:v>491</x:v>
      </x:c>
      <x:c r="D19" s="72" t="s">
        <x:v>220</x:v>
      </x:c>
      <x:c r="E19" s="73">
        <x:f>ROUNDDOWN((SUMIF($G$6:$G$31,"B1",$E$6:$E$31))*J19,0)</x:f>
        <x:v>0</x:v>
      </x:c>
      <x:c r="F19" s="72" t="s">
        <x:v>428</x:v>
      </x:c>
      <x:c r="G19" s="62" t="s">
        <x:v>128</x:v>
      </x:c>
      <x:c r="I19" s="61">
        <x:f>ROUNDDOWN((SUMIF($G$6:$G$31,"B1",$I$6:$I$31))*H19,0)</x:f>
        <x:v>0</x:v>
      </x:c>
    </x:row>
    <x:row r="20" spans="1:9" ht="17.100000000000001" customHeight="1">
      <x:c r="A20" s="109"/>
      <x:c r="B20" s="109"/>
      <x:c r="C20" s="71" t="s">
        <x:v>483</x:v>
      </x:c>
      <x:c r="D20" s="72" t="s">
        <x:v>220</x:v>
      </x:c>
      <x:c r="E20" s="73">
        <x:f ca="1">ROUNDDOWN((SUMIF($G$6:$G$31,"A",$E$6:$E$31)+SUMIF($G$6:$G$31,"B1",$E$6:$E$31))*J20,0)</x:f>
        <x:v>0</x:v>
      </x:c>
      <x:c r="F20" s="72" t="s">
        <x:v>81</x:v>
      </x:c>
      <x:c r="G20" s="62" t="s">
        <x:v>127</x:v>
      </x:c>
      <x:c r="I20" s="61">
        <x:f ca="1">ROUNDDOWN((SUMIF($G$6:$G$31,"A",$I$6:$I$31)+SUMIF($G$6:$G$31,"B1",$I$6:$I$31))*H20,0)</x:f>
        <x:v>0</x:v>
      </x:c>
    </x:row>
    <x:row r="21" spans="1:10" ht="17.100000000000001" customHeight="1">
      <x:c r="A21" s="109"/>
      <x:c r="B21" s="109"/>
      <x:c r="C21" s="71" t="s">
        <x:v>237</x:v>
      </x:c>
      <x:c r="D21" s="81" t="str">
        <x:f>"(재+노)*"&amp;H21*100&amp;"%"</x:f>
        <x:v>(재+노)*5.078%</x:v>
      </x:c>
      <x:c r="E21" s="73">
        <x:f ca="1">ROUNDDOWN((SUMIF($G$6:$G$31,"A",$E$6:$E$31)+SUMIF($G$6:$G$31,"B",$E$6:$E$31))*J21,0)</x:f>
        <x:v>1163647</x:v>
      </x:c>
      <x:c r="F21" s="72" t="s">
        <x:v>220</x:v>
      </x:c>
      <x:c r="G21" s="62" t="s">
        <x:v>126</x:v>
      </x:c>
      <x:c r="H21" s="63">
        <x:v>0.050780000000000003</x:v>
      </x:c>
      <x:c r="I21" s="61">
        <x:f ca="1">ROUNDDOWN((SUMIF($G$6:$G$31,"A",$I$6:$I$31)+SUMIF($G$6:$G$31,"B",$I$6:$I$31))*H21,0)</x:f>
        <x:v>1163647</x:v>
      </x:c>
      <x:c r="J21" s="63">
        <x:v>0.050780000000000003</x:v>
      </x:c>
    </x:row>
    <x:row r="22" spans="1:10" ht="17.100000000000001" customHeight="1">
      <x:c r="A22" s="109"/>
      <x:c r="B22" s="109"/>
      <x:c r="C22" s="74" t="s">
        <x:v>489</x:v>
      </x:c>
      <x:c r="D22" s="80" t="str">
        <x:f>"(재+직.노+기.경)*"&amp;H22*100&amp;"%"</x:f>
        <x:v>(재+직.노+기.경)*0.3%</x:v>
      </x:c>
      <x:c r="E22" s="76">
        <x:f ca="1">ROUNDDOWN((SUMIF($G$6:$G$31,"A",$E$6:$E$31)+SUMIF($G$6:$G$31,"B1",$E$6:$E$31)+SUMIF($G$6:$G$31,"C4",$E$6:$E$31))*J22,0)</x:f>
        <x:v>68620</x:v>
      </x:c>
      <x:c r="F22" s="75" t="s">
        <x:v>220</x:v>
      </x:c>
      <x:c r="G22" s="62" t="s">
        <x:v>125</x:v>
      </x:c>
      <x:c r="H22" s="64">
        <x:v>0.0029999999999999999</x:v>
      </x:c>
      <x:c r="I22" s="61">
        <x:f ca="1">ROUNDDOWN((SUMIF($G$6:$G$31,"A",$I$6:$I$31)+SUMIF($G$6:$G$31,"B1",$I$6:$I$31)+SUMIF($G$6:$G$31,"C4",$I$6:$I$31))*H22,0)</x:f>
        <x:v>68620</x:v>
      </x:c>
      <x:c r="J22" s="64">
        <x:v>0.0029999999999999999</x:v>
      </x:c>
    </x:row>
    <x:row r="23" spans="1:9" ht="17.100000000000001" customHeight="1">
      <x:c r="A23" s="109"/>
      <x:c r="B23" s="110"/>
      <x:c r="C23" s="77" t="s">
        <x:v>231</x:v>
      </x:c>
      <x:c r="D23" s="78" t="s">
        <x:v>220</x:v>
      </x:c>
      <x:c r="E23" s="79">
        <x:f ca="1">SUM(E13:E22)</x:f>
        <x:v>2371916</x:v>
      </x:c>
      <x:c r="F23" s="78" t="s">
        <x:v>220</x:v>
      </x:c>
      <x:c r="G23" s="62" t="s">
        <x:v>123</x:v>
      </x:c>
      <x:c r="I23" s="61">
        <x:f ca="1">E23</x:f>
        <x:v>2371916</x:v>
      </x:c>
    </x:row>
    <x:row r="24" spans="1:9" ht="17.100000000000001" customHeight="1">
      <x:c r="A24" s="110"/>
      <x:c r="B24" s="95" t="s">
        <x:v>83</x:v>
      </x:c>
      <x:c r="C24" s="97"/>
      <x:c r="D24" s="78" t="s">
        <x:v>220</x:v>
      </x:c>
      <x:c r="E24" s="79">
        <x:f ca="1">SUMIF($G$6:$G$31,"A",$E$6:$E$31)+SUMIF($G$6:$G$31,"B",$E$6:$E$31)+SUMIF($G$6:$G$31,"C",$E$6:$E$31)</x:f>
        <x:v>25287382</x:v>
      </x:c>
      <x:c r="F24" s="78" t="s">
        <x:v>220</x:v>
      </x:c>
      <x:c r="G24" s="62" t="s">
        <x:v>124</x:v>
      </x:c>
      <x:c r="I24" s="61">
        <x:f ca="1">E24</x:f>
        <x:v>25287382</x:v>
      </x:c>
    </x:row>
    <x:row r="25" spans="1:10" ht="17.100000000000001" customHeight="1">
      <x:c r="A25" s="95" t="s">
        <x:v>484</x:v>
      </x:c>
      <x:c r="B25" s="96"/>
      <x:c r="C25" s="97"/>
      <x:c r="D25" s="82" t="str">
        <x:f>"(재+노+경)*"&amp;H25*100&amp;"%"</x:f>
        <x:v>(재+노+경)*6%</x:v>
      </x:c>
      <x:c r="E25" s="79">
        <x:f ca="1">ROUNDDOWN((SUMIF($G$6:$G$31,"A",$E$6:$E$31)+SUMIF($G$6:$G$31,"B",$E$6:$E$31)+SUMIF($G$6:$G$31,"C",$E$6:$E$31))*J25,0)</x:f>
        <x:v>1517242</x:v>
      </x:c>
      <x:c r="F25" s="78" t="s">
        <x:v>220</x:v>
      </x:c>
      <x:c r="G25" s="62" t="s">
        <x:v>122</x:v>
      </x:c>
      <x:c r="H25" s="63">
        <x:v>0.059999999999999998</x:v>
      </x:c>
      <x:c r="I25" s="61">
        <x:f ca="1">ROUNDDOWN((SUMIF($G$6:$G$31,"A",$I$6:$I$31)+SUMIF($G$6:$G$31,"B",$I$6:$I$31)+SUMIF($G$6:$G$31,"C",$I$6:$I$31))*H25,0)</x:f>
        <x:v>1517242</x:v>
      </x:c>
      <x:c r="J25" s="63">
        <x:v>0.059999999999999998</x:v>
      </x:c>
    </x:row>
    <x:row r="26" spans="1:10" ht="17.100000000000001" customHeight="1">
      <x:c r="A26" s="95" t="s">
        <x:v>234</x:v>
      </x:c>
      <x:c r="B26" s="96"/>
      <x:c r="C26" s="97"/>
      <x:c r="D26" s="82" t="str">
        <x:f>"(노+경+일)*"&amp;H26*100&amp;"%"</x:f>
        <x:v>(노+경+일)*10.51%</x:v>
      </x:c>
      <x:c r="E26" s="79">
        <x:f ca="1">ROUNDDOWN((SUMIF($G$6:$G$31,"B",$E$6:$E$31)+SUMIF($G$6:$G$31,"C",$E$6:$E$31)+SUMIF($G$6:$G$31,"D",$E$6:$E$31))*J26,0)</x:f>
        <x:v>1333470</x:v>
      </x:c>
      <x:c r="F26" s="78" t="s">
        <x:v>220</x:v>
      </x:c>
      <x:c r="G26" s="62" t="s">
        <x:v>121</x:v>
      </x:c>
      <x:c r="H26" s="122">
        <x:v>0.1051</x:v>
      </x:c>
      <x:c r="I26" s="61">
        <x:f ca="1">ROUND((SUMIF($G$6:$G$31,"B",$I$6:$I$31)+SUMIF($G$6:$G$31,"C",$I$6:$I$31)+SUMIF($G$6:$G$31,"D",$I$6:$I$31))*H26,0)+K26</x:f>
        <x:v>1333471</x:v>
      </x:c>
      <x:c r="J26" s="122">
        <x:v>0.1051</x:v>
      </x:c>
    </x:row>
    <x:row r="27" spans="1:9" ht="17.100000000000001" customHeight="1">
      <x:c r="A27" s="95" t="s">
        <x:v>486</x:v>
      </x:c>
      <x:c r="B27" s="96"/>
      <x:c r="C27" s="97"/>
      <x:c r="D27" s="78" t="s">
        <x:v>220</x:v>
      </x:c>
      <x:c r="E27" s="79">
        <x:f>집계표!X20</x:f>
        <x:v>42968</x:v>
      </x:c>
      <x:c r="F27" s="78" t="s">
        <x:v>220</x:v>
      </x:c>
      <x:c r="G27" s="62" t="s">
        <x:v>208</x:v>
      </x:c>
      <x:c r="I27" s="61">
        <x:f>E27</x:f>
        <x:v>42968</x:v>
      </x:c>
    </x:row>
    <x:row r="28" spans="1:9" ht="17.100000000000001" customHeight="1">
      <x:c r="A28" s="95" t="s">
        <x:v>235</x:v>
      </x:c>
      <x:c r="B28" s="96"/>
      <x:c r="C28" s="97"/>
      <x:c r="D28" s="78" t="s">
        <x:v>220</x:v>
      </x:c>
      <x:c r="E28" s="79">
        <x:f ca="1">I28</x:f>
        <x:v>28181063</x:v>
      </x:c>
      <x:c r="F28" s="78" t="s">
        <x:v>220</x:v>
      </x:c>
      <x:c r="G28" s="62" t="s">
        <x:v>120</x:v>
      </x:c>
      <x:c r="I28" s="61">
        <x:f ca="1">SUM(I24:I27)</x:f>
        <x:v>28181063</x:v>
      </x:c>
    </x:row>
    <x:row r="29" spans="1:10" ht="17.100000000000001" customHeight="1">
      <x:c r="A29" s="95" t="s">
        <x:v>481</x:v>
      </x:c>
      <x:c r="B29" s="96"/>
      <x:c r="C29" s="97"/>
      <x:c r="D29" s="82" t="str">
        <x:f>"(총원가)*"&amp;H29*100&amp;"%"</x:f>
        <x:v>(총원가)*10%</x:v>
      </x:c>
      <x:c r="E29" s="79">
        <x:f ca="1">ROUNDDOWN((SUMIF($G$6:$G$31,"F",$E$6:$E$31))*J29,0)</x:f>
        <x:v>2818106</x:v>
      </x:c>
      <x:c r="F29" s="78" t="s">
        <x:v>220</x:v>
      </x:c>
      <x:c r="G29" s="62" t="s">
        <x:v>119</x:v>
      </x:c>
      <x:c r="H29" s="63">
        <x:v>0.10000000000000001</x:v>
      </x:c>
      <x:c r="I29" s="61">
        <x:f ca="1">ROUNDDOWN((SUMIF($G$6:$G$31,"F",$I$6:$I$31))*H29,0)</x:f>
        <x:v>2818106</x:v>
      </x:c>
      <x:c r="J29" s="63">
        <x:v>0.10000000000000001</x:v>
      </x:c>
    </x:row>
    <x:row r="30" spans="1:9" ht="17.100000000000001" customHeight="1">
      <x:c r="A30" s="95" t="s">
        <x:v>232</x:v>
      </x:c>
      <x:c r="B30" s="96"/>
      <x:c r="C30" s="97"/>
      <x:c r="D30" s="78" t="s">
        <x:v>220</x:v>
      </x:c>
      <x:c r="E30" s="79">
        <x:f ca="1">INT(I30/1000)*1000</x:f>
        <x:v>30999000</x:v>
      </x:c>
      <x:c r="F30" s="78" t="s">
        <x:v>220</x:v>
      </x:c>
      <x:c r="G30" s="62" t="s">
        <x:v>118</x:v>
      </x:c>
      <x:c r="I30" s="61">
        <x:f ca="1">ROUNDDOWN(SUMIF($G$6:$G$31,"F",$I$6:$I$31)+SUMIF($G$6:$G$31,"H",$I$6:$I$31),0)</x:f>
        <x:v>30999169</x:v>
      </x:c>
    </x:row>
    <x:row r="31" spans="1:6" ht="17.100000000000001" customHeight="1">
      <x:c r="A31" s="66"/>
      <x:c r="B31" s="66"/>
      <x:c r="C31" s="66"/>
      <x:c r="D31" s="67"/>
      <x:c r="E31" s="67"/>
      <x:c r="F31" s="67"/>
    </x:row>
    <x:row r="32" ht="17.100000000000001" customHeight="1"/>
    <x:row r="33" ht="17.100000000000001" customHeight="1"/>
  </x:sheetData>
  <x:mergeCells count="17">
    <x:mergeCell ref="A25:C25"/>
    <x:mergeCell ref="A1:F1"/>
    <x:mergeCell ref="A3:F3"/>
    <x:mergeCell ref="A4:C5"/>
    <x:mergeCell ref="D4:D5"/>
    <x:mergeCell ref="E4:E5"/>
    <x:mergeCell ref="F4:F5"/>
    <x:mergeCell ref="A6:A24"/>
    <x:mergeCell ref="B6:B9"/>
    <x:mergeCell ref="B10:B12"/>
    <x:mergeCell ref="B13:B23"/>
    <x:mergeCell ref="B24:C24"/>
    <x:mergeCell ref="A26:C26"/>
    <x:mergeCell ref="A27:C27"/>
    <x:mergeCell ref="A28:C28"/>
    <x:mergeCell ref="A29:C29"/>
    <x:mergeCell ref="A30:C30"/>
  </x:mergeCells>
  <x:pageMargins left="0.74541664123535156" right="0.4166666567325592" top="0" bottom="0.1388888955116272" header="0.30000001192092896" footer="0.1388888955116272"/>
  <x:pageSetup paperSize="9" scale="96" firstPageNumber="1" fitToWidth="1" fitToHeight="200" orientation="landscape" usePrinterDefaults="1" blackAndWhite="0" draft="0" useFirstPageNumber="0" horizontalDpi="600" verticalDpi="600" copies="1"/>
  <x:rowBreaks count="1" manualBreakCount="1">
    <x:brk id="29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19d86"/>
  </x:sheetPr>
  <x:dimension ref="A1:AL25"/>
  <x:sheetViews>
    <x:sheetView topLeftCell="A1" zoomScaleNormal="100" workbookViewId="0">
      <x:selection activeCell="A1" activeCellId="0" sqref="A1:M1"/>
    </x:sheetView>
  </x:sheetViews>
  <x:sheetFormatPr defaultColWidth="9.00390625" defaultRowHeight="10.550000000000001"/>
  <x:cols>
    <x:col min="1" max="2" width="19.625" style="16" customWidth="1"/>
    <x:col min="3" max="3" width="4.625" style="17" customWidth="1"/>
    <x:col min="4" max="4" width="6.625" style="17" customWidth="1"/>
    <x:col min="5" max="5" width="6.625" style="18" customWidth="1"/>
    <x:col min="6" max="6" width="9.625" style="18" customWidth="1"/>
    <x:col min="7" max="7" width="6.625" style="18" customWidth="1"/>
    <x:col min="8" max="8" width="9.625" style="18" customWidth="1"/>
    <x:col min="9" max="9" width="6.625" style="18" customWidth="1"/>
    <x:col min="10" max="10" width="9.625" style="18" customWidth="1"/>
    <x:col min="11" max="11" width="6.625" style="18" customWidth="1"/>
    <x:col min="12" max="12" width="9.625" style="18" customWidth="1"/>
    <x:col min="13" max="13" width="5.625" style="19" customWidth="1"/>
    <x:col min="14" max="38" width="0" style="16" hidden="1" customWidth="1"/>
    <x:col min="39" max="16384" width="9" style="16"/>
  </x:cols>
  <x:sheetData>
    <x:row r="1" spans="1:13" ht="30" customHeight="1">
      <x:c r="A1" s="98" t="s">
        <x:v>499</x:v>
      </x:c>
      <x:c r="B1" s="98"/>
      <x:c r="C1" s="98"/>
      <x:c r="D1" s="98"/>
      <x:c r="E1" s="98"/>
      <x:c r="F1" s="98"/>
      <x:c r="G1" s="98"/>
      <x:c r="H1" s="98"/>
      <x:c r="I1" s="98"/>
      <x:c r="J1" s="98"/>
      <x:c r="K1" s="98"/>
      <x:c r="L1" s="98"/>
      <x:c r="M1" s="98"/>
    </x:row>
    <x:row r="2" spans="1:13" ht="23.100000000000001" customHeight="1">
      <x:c r="A2" s="112" t="s">
        <x:v>240</x:v>
      </x:c>
      <x:c r="B2" s="112"/>
      <x:c r="C2" s="112"/>
      <x:c r="D2" s="112"/>
      <x:c r="E2" s="112"/>
      <x:c r="F2" s="112"/>
      <x:c r="G2" s="112"/>
      <x:c r="H2" s="112"/>
      <x:c r="I2" s="112"/>
      <x:c r="J2" s="112"/>
      <x:c r="K2" s="112"/>
      <x:c r="L2" s="112"/>
      <x:c r="M2" s="112"/>
    </x:row>
    <x:row r="3" spans="1:13" ht="23.100000000000001" customHeight="1">
      <x:c r="A3" s="111" t="s">
        <x:v>70</x:v>
      </x:c>
      <x:c r="B3" s="111" t="s">
        <x:v>73</x:v>
      </x:c>
      <x:c r="C3" s="111" t="s">
        <x:v>225</x:v>
      </x:c>
      <x:c r="D3" s="111" t="s">
        <x:v>142</x:v>
      </x:c>
      <x:c r="E3" s="111" t="s">
        <x:v>358</x:v>
      </x:c>
      <x:c r="F3" s="111"/>
      <x:c r="G3" s="111" t="s">
        <x:v>357</x:v>
      </x:c>
      <x:c r="H3" s="111"/>
      <x:c r="I3" s="111" t="s">
        <x:v>45</x:v>
      </x:c>
      <x:c r="J3" s="111"/>
      <x:c r="K3" s="111" t="s">
        <x:v>46</x:v>
      </x:c>
      <x:c r="L3" s="111"/>
      <x:c r="M3" s="111" t="s">
        <x:v>148</x:v>
      </x:c>
    </x:row>
    <x:row r="4" spans="1:38" ht="23.100000000000001" customHeight="1">
      <x:c r="A4" s="111"/>
      <x:c r="B4" s="111"/>
      <x:c r="C4" s="111"/>
      <x:c r="D4" s="111"/>
      <x:c r="E4" s="22" t="s">
        <x:v>334</x:v>
      </x:c>
      <x:c r="F4" s="22" t="s">
        <x:v>383</x:v>
      </x:c>
      <x:c r="G4" s="22" t="s">
        <x:v>334</x:v>
      </x:c>
      <x:c r="H4" s="22" t="s">
        <x:v>383</x:v>
      </x:c>
      <x:c r="I4" s="22" t="s">
        <x:v>334</x:v>
      </x:c>
      <x:c r="J4" s="22" t="s">
        <x:v>383</x:v>
      </x:c>
      <x:c r="K4" s="22" t="s">
        <x:v>334</x:v>
      </x:c>
      <x:c r="L4" s="22" t="s">
        <x:v>383</x:v>
      </x:c>
      <x:c r="M4" s="111"/>
      <x:c r="N4" s="16" t="s">
        <x:v>336</x:v>
      </x:c>
      <x:c r="O4" s="16" t="s">
        <x:v>337</x:v>
      </x:c>
      <x:c r="P4" s="16" t="s">
        <x:v>338</x:v>
      </x:c>
      <x:c r="Q4" s="16" t="s">
        <x:v>339</x:v>
      </x:c>
      <x:c r="R4" s="16" t="s">
        <x:v>342</x:v>
      </x:c>
      <x:c r="S4" s="16" t="s">
        <x:v>147</x:v>
      </x:c>
      <x:c r="T4" s="16" t="s">
        <x:v>410</x:v>
      </x:c>
      <x:c r="U4" s="16" t="s">
        <x:v>145</x:v>
      </x:c>
      <x:c r="V4" s="16" t="s">
        <x:v>146</x:v>
      </x:c>
      <x:c r="W4" s="16" t="s">
        <x:v>144</x:v>
      </x:c>
      <x:c r="X4" s="16" t="s">
        <x:v>412</x:v>
      </x:c>
      <x:c r="Y4" s="16" t="s">
        <x:v>143</x:v>
      </x:c>
      <x:c r="Z4" s="16" t="s">
        <x:v>409</x:v>
      </x:c>
      <x:c r="AA4" s="16" t="s">
        <x:v>411</x:v>
      </x:c>
      <x:c r="AB4" s="16" t="s">
        <x:v>413</x:v>
      </x:c>
      <x:c r="AC4" s="16" t="s">
        <x:v>414</x:v>
      </x:c>
      <x:c r="AD4" s="16" t="s">
        <x:v>415</x:v>
      </x:c>
      <x:c r="AE4" s="16" t="s">
        <x:v>416</x:v>
      </x:c>
      <x:c r="AF4" s="16" t="s">
        <x:v>417</x:v>
      </x:c>
      <x:c r="AG4" s="16" t="s">
        <x:v>418</x:v>
      </x:c>
      <x:c r="AH4" s="16" t="s">
        <x:v>419</x:v>
      </x:c>
      <x:c r="AI4" s="16" t="s">
        <x:v>420</x:v>
      </x:c>
      <x:c r="AJ4" s="16" t="s">
        <x:v>421</x:v>
      </x:c>
      <x:c r="AK4" s="16" t="s">
        <x:v>422</x:v>
      </x:c>
      <x:c r="AL4" s="16" t="s">
        <x:v>423</x:v>
      </x:c>
    </x:row>
    <x:row r="5" spans="1:38" ht="23.100000000000001" customHeight="1">
      <x:c r="A5" s="23" t="s">
        <x:v>74</x:v>
      </x:c>
      <x:c r="B5" s="23" t="s">
        <x:v>220</x:v>
      </x:c>
      <x:c r="C5" s="24" t="s">
        <x:v>160</x:v>
      </x:c>
      <x:c r="D5" s="55">
        <x:v>1</x:v>
      </x:c>
      <x:c r="E5" s="45">
        <x:f>내역서!F20</x:f>
        <x:v>142136</x:v>
      </x:c>
      <x:c r="F5" s="45">
        <x:f>D5*E5</x:f>
        <x:v>142136</x:v>
      </x:c>
      <x:c r="G5" s="45">
        <x:f>내역서!H20</x:f>
        <x:v>1097169</x:v>
      </x:c>
      <x:c r="H5" s="45">
        <x:f>D5*G5</x:f>
        <x:v>1097169</x:v>
      </x:c>
      <x:c r="I5" s="45">
        <x:f>내역서!J20</x:f>
        <x:v>0</x:v>
      </x:c>
      <x:c r="J5" s="45">
        <x:f>D5*I5</x:f>
        <x:v>0</x:v>
      </x:c>
      <x:c r="K5" s="45">
        <x:f>E5+G5+I5</x:f>
        <x:v>1239305</x:v>
      </x:c>
      <x:c r="L5" s="45">
        <x:f>F5+H5+J5</x:f>
        <x:v>1239305</x:v>
      </x:c>
      <x:c r="M5" s="27" t="s">
        <x:v>220</x:v>
      </x:c>
      <x:c r="Q5" s="16">
        <x:v>1</x:v>
      </x:c>
      <x:c r="R5" s="16">
        <x:f>내역서!R20*D5</x:f>
        <x:v>0</x:v>
      </x:c>
      <x:c r="S5" s="16">
        <x:f>내역서!S20*D5</x:f>
        <x:v>0</x:v>
      </x:c>
      <x:c r="T5" s="16">
        <x:f>내역서!T20*D5</x:f>
        <x:v>0</x:v>
      </x:c>
      <x:c r="U5" s="16">
        <x:f>내역서!U20*D5</x:f>
        <x:v>0</x:v>
      </x:c>
      <x:c r="V5" s="16">
        <x:f>내역서!V20*D5</x:f>
        <x:v>0</x:v>
      </x:c>
      <x:c r="W5" s="16">
        <x:f>내역서!W20*D5</x:f>
        <x:v>0</x:v>
      </x:c>
      <x:c r="X5" s="16">
        <x:f>내역서!X20*D5</x:f>
        <x:v>0</x:v>
      </x:c>
      <x:c r="Y5" s="16">
        <x:f>내역서!Y20*D5</x:f>
        <x:v>0</x:v>
      </x:c>
      <x:c r="Z5" s="16">
        <x:f>내역서!Z20*D5</x:f>
        <x:v>0</x:v>
      </x:c>
      <x:c r="AA5" s="16">
        <x:f>내역서!AA20*D5</x:f>
        <x:v>0</x:v>
      </x:c>
      <x:c r="AB5" s="16">
        <x:f>내역서!AB20*D5</x:f>
        <x:v>0</x:v>
      </x:c>
      <x:c r="AC5" s="16">
        <x:f>내역서!AC20*D5</x:f>
        <x:v>0</x:v>
      </x:c>
      <x:c r="AD5" s="16">
        <x:f>내역서!AD20*D5</x:f>
        <x:v>0</x:v>
      </x:c>
      <x:c r="AE5" s="16">
        <x:f>내역서!AE20*D5</x:f>
        <x:v>0</x:v>
      </x:c>
      <x:c r="AF5" s="16">
        <x:f>내역서!AF20*D5</x:f>
        <x:v>0</x:v>
      </x:c>
      <x:c r="AG5" s="16">
        <x:f>내역서!AG20*D5</x:f>
        <x:v>0</x:v>
      </x:c>
      <x:c r="AH5" s="16">
        <x:f>내역서!AH20*D5</x:f>
        <x:v>0</x:v>
      </x:c>
      <x:c r="AI5" s="16">
        <x:f>내역서!AI20*D5</x:f>
        <x:v>0</x:v>
      </x:c>
      <x:c r="AJ5" s="16">
        <x:f>내역서!AJ20*D5</x:f>
        <x:v>0</x:v>
      </x:c>
      <x:c r="AK5" s="16">
        <x:f>내역서!AK20*D5</x:f>
        <x:v>0</x:v>
      </x:c>
      <x:c r="AL5" s="16">
        <x:f>내역서!AL20*D5</x:f>
        <x:v>0</x:v>
      </x:c>
    </x:row>
    <x:row r="6" spans="1:38" ht="23.100000000000001" customHeight="1">
      <x:c r="A6" s="23" t="s">
        <x:v>75</x:v>
      </x:c>
      <x:c r="B6" s="23" t="s">
        <x:v>220</x:v>
      </x:c>
      <x:c r="C6" s="24" t="s">
        <x:v>160</x:v>
      </x:c>
      <x:c r="D6" s="55">
        <x:v>1</x:v>
      </x:c>
      <x:c r="E6" s="45">
        <x:f>내역서!F36</x:f>
        <x:v>17549</x:v>
      </x:c>
      <x:c r="F6" s="45">
        <x:f>D6*E6</x:f>
        <x:v>17549</x:v>
      </x:c>
      <x:c r="G6" s="45">
        <x:f>내역서!H36</x:f>
        <x:v>65893</x:v>
      </x:c>
      <x:c r="H6" s="45">
        <x:f>D6*G6</x:f>
        <x:v>65893</x:v>
      </x:c>
      <x:c r="I6" s="45">
        <x:f>내역서!J36</x:f>
        <x:v>89</x:v>
      </x:c>
      <x:c r="J6" s="45">
        <x:f>D6*I6</x:f>
        <x:v>89</x:v>
      </x:c>
      <x:c r="K6" s="45">
        <x:f>E6+G6+I6</x:f>
        <x:v>83531</x:v>
      </x:c>
      <x:c r="L6" s="45">
        <x:f>F6+H6+J6</x:f>
        <x:v>83531</x:v>
      </x:c>
      <x:c r="M6" s="27" t="s">
        <x:v>220</x:v>
      </x:c>
      <x:c r="Q6" s="16">
        <x:v>1</x:v>
      </x:c>
      <x:c r="R6" s="16">
        <x:f>내역서!R36*D6</x:f>
        <x:v>89</x:v>
      </x:c>
      <x:c r="S6" s="16">
        <x:f>내역서!S36*D6</x:f>
        <x:v>0</x:v>
      </x:c>
      <x:c r="T6" s="16">
        <x:f>내역서!T36*D6</x:f>
        <x:v>0</x:v>
      </x:c>
      <x:c r="U6" s="16">
        <x:f>내역서!U36*D6</x:f>
        <x:v>0</x:v>
      </x:c>
      <x:c r="V6" s="16">
        <x:f>내역서!V36*D6</x:f>
        <x:v>0</x:v>
      </x:c>
      <x:c r="W6" s="16">
        <x:f>내역서!W36*D6</x:f>
        <x:v>0</x:v>
      </x:c>
      <x:c r="X6" s="16">
        <x:f>내역서!X36*D6</x:f>
        <x:v>0</x:v>
      </x:c>
      <x:c r="Y6" s="16">
        <x:f>내역서!Y36*D6</x:f>
        <x:v>0</x:v>
      </x:c>
      <x:c r="Z6" s="16">
        <x:f>내역서!Z36*D6</x:f>
        <x:v>0</x:v>
      </x:c>
      <x:c r="AA6" s="16">
        <x:f>내역서!AA36*D6</x:f>
        <x:v>0</x:v>
      </x:c>
      <x:c r="AB6" s="16">
        <x:f>내역서!AB36*D6</x:f>
        <x:v>0</x:v>
      </x:c>
      <x:c r="AC6" s="16">
        <x:f>내역서!AC36*D6</x:f>
        <x:v>0</x:v>
      </x:c>
      <x:c r="AD6" s="16">
        <x:f>내역서!AD36*D6</x:f>
        <x:v>0</x:v>
      </x:c>
      <x:c r="AE6" s="16">
        <x:f>내역서!AE36*D6</x:f>
        <x:v>0</x:v>
      </x:c>
      <x:c r="AF6" s="16">
        <x:f>내역서!AF36*D6</x:f>
        <x:v>0</x:v>
      </x:c>
      <x:c r="AG6" s="16">
        <x:f>내역서!AG36*D6</x:f>
        <x:v>0</x:v>
      </x:c>
      <x:c r="AH6" s="16">
        <x:f>내역서!AH36*D6</x:f>
        <x:v>0</x:v>
      </x:c>
      <x:c r="AI6" s="16">
        <x:f>내역서!AI36*D6</x:f>
        <x:v>0</x:v>
      </x:c>
      <x:c r="AJ6" s="16">
        <x:f>내역서!AJ36*D6</x:f>
        <x:v>0</x:v>
      </x:c>
      <x:c r="AK6" s="16">
        <x:f>내역서!AK36*D6</x:f>
        <x:v>0</x:v>
      </x:c>
      <x:c r="AL6" s="16">
        <x:f>내역서!AL36*D6</x:f>
        <x:v>0</x:v>
      </x:c>
    </x:row>
    <x:row r="7" spans="1:38" ht="23.100000000000001" customHeight="1">
      <x:c r="A7" s="23" t="s">
        <x:v>78</x:v>
      </x:c>
      <x:c r="B7" s="23" t="s">
        <x:v>220</x:v>
      </x:c>
      <x:c r="C7" s="24" t="s">
        <x:v>160</x:v>
      </x:c>
      <x:c r="D7" s="55">
        <x:v>1</x:v>
      </x:c>
      <x:c r="E7" s="45">
        <x:f>내역서!F52</x:f>
        <x:v>13900775</x:v>
      </x:c>
      <x:c r="F7" s="45">
        <x:f>D7*E7</x:f>
        <x:v>13900775</x:v>
      </x:c>
      <x:c r="G7" s="45">
        <x:f>내역서!H52</x:f>
        <x:v>5927205</x:v>
      </x:c>
      <x:c r="H7" s="45">
        <x:f>D7*G7</x:f>
        <x:v>5927205</x:v>
      </x:c>
      <x:c r="I7" s="45">
        <x:f>내역서!J52</x:f>
        <x:v>728000</x:v>
      </x:c>
      <x:c r="J7" s="45">
        <x:f>D7*I7</x:f>
        <x:v>728000</x:v>
      </x:c>
      <x:c r="K7" s="45">
        <x:f>E7+G7+I7</x:f>
        <x:v>20555980</x:v>
      </x:c>
      <x:c r="L7" s="45">
        <x:f>F7+H7+J7</x:f>
        <x:v>20555980</x:v>
      </x:c>
      <x:c r="M7" s="27" t="s">
        <x:v>220</x:v>
      </x:c>
      <x:c r="Q7" s="16">
        <x:v>1</x:v>
      </x:c>
      <x:c r="R7" s="16">
        <x:f>내역서!R52*D7</x:f>
        <x:v>728000</x:v>
      </x:c>
      <x:c r="S7" s="16">
        <x:f>내역서!S52*D7</x:f>
        <x:v>0</x:v>
      </x:c>
      <x:c r="T7" s="16">
        <x:f>내역서!T52*D7</x:f>
        <x:v>0</x:v>
      </x:c>
      <x:c r="U7" s="16">
        <x:f>내역서!U52*D7</x:f>
        <x:v>0</x:v>
      </x:c>
      <x:c r="V7" s="16">
        <x:f>내역서!V52*D7</x:f>
        <x:v>0</x:v>
      </x:c>
      <x:c r="W7" s="16">
        <x:f>내역서!W52*D7</x:f>
        <x:v>0</x:v>
      </x:c>
      <x:c r="X7" s="16">
        <x:f>내역서!X52*D7</x:f>
        <x:v>0</x:v>
      </x:c>
      <x:c r="Y7" s="16">
        <x:f>내역서!Y52*D7</x:f>
        <x:v>0</x:v>
      </x:c>
      <x:c r="Z7" s="16">
        <x:f>내역서!Z52*D7</x:f>
        <x:v>0</x:v>
      </x:c>
      <x:c r="AA7" s="16">
        <x:f>내역서!AA52*D7</x:f>
        <x:v>0</x:v>
      </x:c>
      <x:c r="AB7" s="16">
        <x:f>내역서!AB52*D7</x:f>
        <x:v>0</x:v>
      </x:c>
      <x:c r="AC7" s="16">
        <x:f>내역서!AC52*D7</x:f>
        <x:v>0</x:v>
      </x:c>
      <x:c r="AD7" s="16">
        <x:f>내역서!AD52*D7</x:f>
        <x:v>0</x:v>
      </x:c>
      <x:c r="AE7" s="16">
        <x:f>내역서!AE52*D7</x:f>
        <x:v>0</x:v>
      </x:c>
      <x:c r="AF7" s="16">
        <x:f>내역서!AF52*D7</x:f>
        <x:v>0</x:v>
      </x:c>
      <x:c r="AG7" s="16">
        <x:f>내역서!AG52*D7</x:f>
        <x:v>0</x:v>
      </x:c>
      <x:c r="AH7" s="16">
        <x:f>내역서!AH52*D7</x:f>
        <x:v>0</x:v>
      </x:c>
      <x:c r="AI7" s="16">
        <x:f>내역서!AI52*D7</x:f>
        <x:v>0</x:v>
      </x:c>
      <x:c r="AJ7" s="16">
        <x:f>내역서!AJ52*D7</x:f>
        <x:v>0</x:v>
      </x:c>
      <x:c r="AK7" s="16">
        <x:f>내역서!AK52*D7</x:f>
        <x:v>0</x:v>
      </x:c>
      <x:c r="AL7" s="16">
        <x:f>내역서!AL52*D7</x:f>
        <x:v>0</x:v>
      </x:c>
    </x:row>
    <x:row r="8" spans="1:38" ht="23.100000000000001" customHeight="1">
      <x:c r="A8" s="23" t="s">
        <x:v>76</x:v>
      </x:c>
      <x:c r="B8" s="23" t="s">
        <x:v>220</x:v>
      </x:c>
      <x:c r="C8" s="24" t="s">
        <x:v>160</x:v>
      </x:c>
      <x:c r="D8" s="55">
        <x:v>1</x:v>
      </x:c>
      <x:c r="E8" s="45">
        <x:f>내역서!F68</x:f>
        <x:v>70926</x:v>
      </x:c>
      <x:c r="F8" s="45">
        <x:f>D8*E8</x:f>
        <x:v>70926</x:v>
      </x:c>
      <x:c r="G8" s="45">
        <x:f>내역서!H68</x:f>
        <x:v>937544</x:v>
      </x:c>
      <x:c r="H8" s="45">
        <x:f>D8*G8</x:f>
        <x:v>937544</x:v>
      </x:c>
      <x:c r="I8" s="45">
        <x:f>내역서!J68</x:f>
        <x:v>672</x:v>
      </x:c>
      <x:c r="J8" s="45">
        <x:f>D8*I8</x:f>
        <x:v>672</x:v>
      </x:c>
      <x:c r="K8" s="45">
        <x:f>E8+G8+I8</x:f>
        <x:v>1009142</x:v>
      </x:c>
      <x:c r="L8" s="45">
        <x:f>F8+H8+J8</x:f>
        <x:v>1009142</x:v>
      </x:c>
      <x:c r="M8" s="27" t="s">
        <x:v>220</x:v>
      </x:c>
      <x:c r="Q8" s="16">
        <x:v>1</x:v>
      </x:c>
      <x:c r="R8" s="16">
        <x:f>내역서!R68*D8</x:f>
        <x:v>672</x:v>
      </x:c>
      <x:c r="S8" s="16">
        <x:f>내역서!S68*D8</x:f>
        <x:v>0</x:v>
      </x:c>
      <x:c r="T8" s="16">
        <x:f>내역서!T68*D8</x:f>
        <x:v>0</x:v>
      </x:c>
      <x:c r="U8" s="16">
        <x:f>내역서!U68*D8</x:f>
        <x:v>0</x:v>
      </x:c>
      <x:c r="V8" s="16">
        <x:f>내역서!V68*D8</x:f>
        <x:v>0</x:v>
      </x:c>
      <x:c r="W8" s="16">
        <x:f>내역서!W68*D8</x:f>
        <x:v>0</x:v>
      </x:c>
      <x:c r="X8" s="16">
        <x:f>내역서!X68*D8</x:f>
        <x:v>0</x:v>
      </x:c>
      <x:c r="Y8" s="16">
        <x:f>내역서!Y68*D8</x:f>
        <x:v>0</x:v>
      </x:c>
      <x:c r="Z8" s="16">
        <x:f>내역서!Z68*D8</x:f>
        <x:v>0</x:v>
      </x:c>
      <x:c r="AA8" s="16">
        <x:f>내역서!AA68*D8</x:f>
        <x:v>0</x:v>
      </x:c>
      <x:c r="AB8" s="16">
        <x:f>내역서!AB68*D8</x:f>
        <x:v>0</x:v>
      </x:c>
      <x:c r="AC8" s="16">
        <x:f>내역서!AC68*D8</x:f>
        <x:v>0</x:v>
      </x:c>
      <x:c r="AD8" s="16">
        <x:f>내역서!AD68*D8</x:f>
        <x:v>0</x:v>
      </x:c>
      <x:c r="AE8" s="16">
        <x:f>내역서!AE68*D8</x:f>
        <x:v>0</x:v>
      </x:c>
      <x:c r="AF8" s="16">
        <x:f>내역서!AF68*D8</x:f>
        <x:v>0</x:v>
      </x:c>
      <x:c r="AG8" s="16">
        <x:f>내역서!AG68*D8</x:f>
        <x:v>0</x:v>
      </x:c>
      <x:c r="AH8" s="16">
        <x:f>내역서!AH68*D8</x:f>
        <x:v>0</x:v>
      </x:c>
      <x:c r="AI8" s="16">
        <x:f>내역서!AI68*D8</x:f>
        <x:v>0</x:v>
      </x:c>
      <x:c r="AJ8" s="16">
        <x:f>내역서!AJ68*D8</x:f>
        <x:v>0</x:v>
      </x:c>
      <x:c r="AK8" s="16">
        <x:f>내역서!AK68*D8</x:f>
        <x:v>0</x:v>
      </x:c>
      <x:c r="AL8" s="16">
        <x:f>내역서!AL68*D8</x:f>
        <x:v>0</x:v>
      </x:c>
    </x:row>
    <x:row r="9" spans="1:38" ht="23.100000000000001" customHeight="1">
      <x:c r="A9" s="23" t="s">
        <x:v>77</x:v>
      </x:c>
      <x:c r="B9" s="23" t="s">
        <x:v>220</x:v>
      </x:c>
      <x:c r="C9" s="24" t="s">
        <x:v>160</x:v>
      </x:c>
      <x:c r="D9" s="55">
        <x:v>1</x:v>
      </x:c>
      <x:c r="E9" s="45">
        <x:f>내역서!F84</x:f>
        <x:v>0</x:v>
      </x:c>
      <x:c r="F9" s="45">
        <x:f>D9*E9</x:f>
        <x:v>0</x:v>
      </x:c>
      <x:c r="G9" s="45">
        <x:f>내역서!H84</x:f>
        <x:v>0</x:v>
      </x:c>
      <x:c r="H9" s="45">
        <x:f>D9*G9</x:f>
        <x:v>0</x:v>
      </x:c>
      <x:c r="I9" s="45">
        <x:f>내역서!J84</x:f>
        <x:v>42968</x:v>
      </x:c>
      <x:c r="J9" s="45">
        <x:f>D9*I9</x:f>
        <x:v>42968</x:v>
      </x:c>
      <x:c r="K9" s="45">
        <x:f>E9+G9+I9</x:f>
        <x:v>42968</x:v>
      </x:c>
      <x:c r="L9" s="45">
        <x:f>F9+H9+J9</x:f>
        <x:v>42968</x:v>
      </x:c>
      <x:c r="M9" s="27" t="s">
        <x:v>424</x:v>
      </x:c>
      <x:c r="Q9" s="16">
        <x:v>0</x:v>
      </x:c>
      <x:c r="R9" s="16">
        <x:f>내역서!R84*D9</x:f>
        <x:v>0</x:v>
      </x:c>
      <x:c r="S9" s="16">
        <x:f>내역서!S84*D9</x:f>
        <x:v>0</x:v>
      </x:c>
      <x:c r="T9" s="16">
        <x:f>내역서!T84*D9</x:f>
        <x:v>0</x:v>
      </x:c>
      <x:c r="U9" s="16">
        <x:f>내역서!U84*D9</x:f>
        <x:v>0</x:v>
      </x:c>
      <x:c r="V9" s="16">
        <x:f>내역서!V84*D9</x:f>
        <x:v>0</x:v>
      </x:c>
      <x:c r="W9" s="16">
        <x:f>내역서!W84*D9</x:f>
        <x:v>0</x:v>
      </x:c>
      <x:c r="X9" s="16">
        <x:f>내역서!X84*D9</x:f>
        <x:v>42968</x:v>
      </x:c>
      <x:c r="Y9" s="16">
        <x:f>내역서!Y84*D9</x:f>
        <x:v>0</x:v>
      </x:c>
      <x:c r="Z9" s="16">
        <x:f>내역서!Z84*D9</x:f>
        <x:v>0</x:v>
      </x:c>
      <x:c r="AA9" s="16">
        <x:f>내역서!AA84*D9</x:f>
        <x:v>0</x:v>
      </x:c>
      <x:c r="AB9" s="16">
        <x:f>내역서!AB84*D9</x:f>
        <x:v>0</x:v>
      </x:c>
      <x:c r="AC9" s="16">
        <x:f>내역서!AC84*D9</x:f>
        <x:v>0</x:v>
      </x:c>
      <x:c r="AD9" s="16">
        <x:f>내역서!AD84*D9</x:f>
        <x:v>0</x:v>
      </x:c>
      <x:c r="AE9" s="16">
        <x:f>내역서!AE84*D9</x:f>
        <x:v>0</x:v>
      </x:c>
      <x:c r="AF9" s="16">
        <x:f>내역서!AF84*D9</x:f>
        <x:v>0</x:v>
      </x:c>
      <x:c r="AG9" s="16">
        <x:f>내역서!AG84*D9</x:f>
        <x:v>0</x:v>
      </x:c>
      <x:c r="AH9" s="16">
        <x:f>내역서!AH84*D9</x:f>
        <x:v>0</x:v>
      </x:c>
      <x:c r="AI9" s="16">
        <x:f>내역서!AI84*D9</x:f>
        <x:v>0</x:v>
      </x:c>
      <x:c r="AJ9" s="16">
        <x:f>내역서!AJ84*D9</x:f>
        <x:v>0</x:v>
      </x:c>
      <x:c r="AK9" s="16">
        <x:f>내역서!AK84*D9</x:f>
        <x:v>0</x:v>
      </x:c>
      <x:c r="AL9" s="16">
        <x:f>내역서!AL84*D9</x:f>
        <x:v>0</x:v>
      </x:c>
    </x:row>
    <x:row r="10" spans="1:38" ht="23.100000000000001" customHeight="1">
      <x:c r="A10" s="23" t="s">
        <x:v>426</x:v>
      </x:c>
      <x:c r="B10" s="23" t="s">
        <x:v>220</x:v>
      </x:c>
      <x:c r="C10" s="24" t="s">
        <x:v>160</x:v>
      </x:c>
      <x:c r="D10" s="55">
        <x:v>1</x:v>
      </x:c>
      <x:c r="E10" s="45">
        <x:f>내역서!F100</x:f>
        <x:v>-14400</x:v>
      </x:c>
      <x:c r="F10" s="45">
        <x:f>D10*E10</x:f>
        <x:v>-14400</x:v>
      </x:c>
      <x:c r="G10" s="45">
        <x:f>내역서!H100</x:f>
        <x:v>0</x:v>
      </x:c>
      <x:c r="H10" s="45">
        <x:f>D10*G10</x:f>
        <x:v>0</x:v>
      </x:c>
      <x:c r="I10" s="45">
        <x:f>내역서!J100</x:f>
        <x:v>0</x:v>
      </x:c>
      <x:c r="J10" s="45">
        <x:f>D10*I10</x:f>
        <x:v>0</x:v>
      </x:c>
      <x:c r="K10" s="45">
        <x:f>E10+G10+I10</x:f>
        <x:v>-14400</x:v>
      </x:c>
      <x:c r="L10" s="45">
        <x:f>F10+H10+J10</x:f>
        <x:v>-14400</x:v>
      </x:c>
      <x:c r="M10" s="27" t="s">
        <x:v>424</x:v>
      </x:c>
      <x:c r="Q10" s="16">
        <x:v>0</x:v>
      </x:c>
      <x:c r="R10" s="16">
        <x:f>내역서!R100*D10</x:f>
        <x:v>0</x:v>
      </x:c>
      <x:c r="S10" s="16">
        <x:f>내역서!S100*D10</x:f>
        <x:v>0</x:v>
      </x:c>
      <x:c r="T10" s="16">
        <x:f>내역서!T100*D10</x:f>
        <x:v>-14400</x:v>
      </x:c>
      <x:c r="U10" s="16">
        <x:f>내역서!U100*D10</x:f>
        <x:v>0</x:v>
      </x:c>
      <x:c r="V10" s="16">
        <x:f>내역서!V100*D10</x:f>
        <x:v>0</x:v>
      </x:c>
      <x:c r="W10" s="16">
        <x:f>내역서!W100*D10</x:f>
        <x:v>0</x:v>
      </x:c>
      <x:c r="X10" s="16">
        <x:f>내역서!X100*D10</x:f>
        <x:v>0</x:v>
      </x:c>
      <x:c r="Y10" s="16">
        <x:f>내역서!Y100*D10</x:f>
        <x:v>0</x:v>
      </x:c>
      <x:c r="Z10" s="16">
        <x:f>내역서!Z100*D10</x:f>
        <x:v>0</x:v>
      </x:c>
      <x:c r="AA10" s="16">
        <x:f>내역서!AA100*D10</x:f>
        <x:v>0</x:v>
      </x:c>
      <x:c r="AB10" s="16">
        <x:f>내역서!AB100*D10</x:f>
        <x:v>0</x:v>
      </x:c>
      <x:c r="AC10" s="16">
        <x:f>내역서!AC100*D10</x:f>
        <x:v>0</x:v>
      </x:c>
      <x:c r="AD10" s="16">
        <x:f>내역서!AD100*D10</x:f>
        <x:v>0</x:v>
      </x:c>
      <x:c r="AE10" s="16">
        <x:f>내역서!AE100*D10</x:f>
        <x:v>0</x:v>
      </x:c>
      <x:c r="AF10" s="16">
        <x:f>내역서!AF100*D10</x:f>
        <x:v>0</x:v>
      </x:c>
      <x:c r="AG10" s="16">
        <x:f>내역서!AG100*D10</x:f>
        <x:v>0</x:v>
      </x:c>
      <x:c r="AH10" s="16">
        <x:f>내역서!AH100*D10</x:f>
        <x:v>0</x:v>
      </x:c>
      <x:c r="AI10" s="16">
        <x:f>내역서!AI100*D10</x:f>
        <x:v>0</x:v>
      </x:c>
      <x:c r="AJ10" s="16">
        <x:f>내역서!AJ100*D10</x:f>
        <x:v>0</x:v>
      </x:c>
      <x:c r="AK10" s="16">
        <x:f>내역서!AK100*D10</x:f>
        <x:v>0</x:v>
      </x:c>
      <x:c r="AL10" s="16">
        <x:f>내역서!AL100*D10</x:f>
        <x:v>0</x:v>
      </x:c>
    </x:row>
    <x:row r="11" spans="1:13" ht="23.100000000000001" customHeight="1">
      <x:c r="A11" s="29"/>
      <x:c r="B11" s="29"/>
      <x:c r="C11" s="30"/>
      <x:c r="D11" s="30"/>
      <x:c r="E11" s="45"/>
      <x:c r="F11" s="45"/>
      <x:c r="G11" s="45"/>
      <x:c r="H11" s="45"/>
      <x:c r="I11" s="45"/>
      <x:c r="J11" s="45"/>
      <x:c r="K11" s="45"/>
      <x:c r="L11" s="45"/>
      <x:c r="M11" s="28"/>
    </x:row>
    <x:row r="12" spans="1:13" ht="23.100000000000001" customHeight="1">
      <x:c r="A12" s="29"/>
      <x:c r="B12" s="29"/>
      <x:c r="C12" s="30"/>
      <x:c r="D12" s="30"/>
      <x:c r="E12" s="45"/>
      <x:c r="F12" s="45"/>
      <x:c r="G12" s="45"/>
      <x:c r="H12" s="45"/>
      <x:c r="I12" s="45"/>
      <x:c r="J12" s="45"/>
      <x:c r="K12" s="45"/>
      <x:c r="L12" s="45"/>
      <x:c r="M12" s="28"/>
    </x:row>
    <x:row r="13" spans="1:13" ht="23.100000000000001" customHeight="1">
      <x:c r="A13" s="29"/>
      <x:c r="B13" s="29"/>
      <x:c r="C13" s="30"/>
      <x:c r="D13" s="30"/>
      <x:c r="E13" s="45"/>
      <x:c r="F13" s="45"/>
      <x:c r="G13" s="45"/>
      <x:c r="H13" s="45"/>
      <x:c r="I13" s="45"/>
      <x:c r="J13" s="45"/>
      <x:c r="K13" s="45"/>
      <x:c r="L13" s="45"/>
      <x:c r="M13" s="28"/>
    </x:row>
    <x:row r="14" spans="1:13" ht="23.100000000000001" customHeight="1">
      <x:c r="A14" s="29"/>
      <x:c r="B14" s="29"/>
      <x:c r="C14" s="30"/>
      <x:c r="D14" s="30"/>
      <x:c r="E14" s="45"/>
      <x:c r="F14" s="45"/>
      <x:c r="G14" s="45"/>
      <x:c r="H14" s="45"/>
      <x:c r="I14" s="45"/>
      <x:c r="J14" s="45"/>
      <x:c r="K14" s="45"/>
      <x:c r="L14" s="45"/>
      <x:c r="M14" s="28"/>
    </x:row>
    <x:row r="15" spans="1:13" ht="23.100000000000001" customHeight="1">
      <x:c r="A15" s="29"/>
      <x:c r="B15" s="29"/>
      <x:c r="C15" s="30"/>
      <x:c r="D15" s="30"/>
      <x:c r="E15" s="45"/>
      <x:c r="F15" s="45"/>
      <x:c r="G15" s="45"/>
      <x:c r="H15" s="45"/>
      <x:c r="I15" s="45"/>
      <x:c r="J15" s="45"/>
      <x:c r="K15" s="45"/>
      <x:c r="L15" s="45"/>
      <x:c r="M15" s="28"/>
    </x:row>
    <x:row r="16" spans="1:13" ht="23.100000000000001" customHeight="1">
      <x:c r="A16" s="29"/>
      <x:c r="B16" s="29"/>
      <x:c r="C16" s="30"/>
      <x:c r="D16" s="30"/>
      <x:c r="E16" s="45"/>
      <x:c r="F16" s="45"/>
      <x:c r="G16" s="45"/>
      <x:c r="H16" s="45"/>
      <x:c r="I16" s="45"/>
      <x:c r="J16" s="45"/>
      <x:c r="K16" s="45"/>
      <x:c r="L16" s="45"/>
      <x:c r="M16" s="28"/>
    </x:row>
    <x:row r="17" spans="1:13" ht="23.100000000000001" customHeight="1">
      <x:c r="A17" s="29"/>
      <x:c r="B17" s="29"/>
      <x:c r="C17" s="30"/>
      <x:c r="D17" s="30"/>
      <x:c r="E17" s="45"/>
      <x:c r="F17" s="45"/>
      <x:c r="G17" s="45"/>
      <x:c r="H17" s="45"/>
      <x:c r="I17" s="45"/>
      <x:c r="J17" s="45"/>
      <x:c r="K17" s="45"/>
      <x:c r="L17" s="45"/>
      <x:c r="M17" s="28"/>
    </x:row>
    <x:row r="18" spans="1:13" ht="23.100000000000001" customHeight="1">
      <x:c r="A18" s="29"/>
      <x:c r="B18" s="29"/>
      <x:c r="C18" s="30"/>
      <x:c r="D18" s="30"/>
      <x:c r="E18" s="45"/>
      <x:c r="F18" s="45"/>
      <x:c r="G18" s="45"/>
      <x:c r="H18" s="45"/>
      <x:c r="I18" s="45"/>
      <x:c r="J18" s="45"/>
      <x:c r="K18" s="45"/>
      <x:c r="L18" s="45"/>
      <x:c r="M18" s="28"/>
    </x:row>
    <x:row r="19" spans="1:13" ht="23.100000000000001" customHeight="1">
      <x:c r="A19" s="29"/>
      <x:c r="B19" s="29"/>
      <x:c r="C19" s="30"/>
      <x:c r="D19" s="30"/>
      <x:c r="E19" s="45"/>
      <x:c r="F19" s="45"/>
      <x:c r="G19" s="45"/>
      <x:c r="H19" s="45"/>
      <x:c r="I19" s="45"/>
      <x:c r="J19" s="45"/>
      <x:c r="K19" s="45"/>
      <x:c r="L19" s="45"/>
      <x:c r="M19" s="28"/>
    </x:row>
    <x:row r="20" spans="1:38" ht="23.100000000000001" customHeight="1">
      <x:c r="A20" s="24" t="s">
        <x:v>344</x:v>
      </x:c>
      <x:c r="B20" s="29"/>
      <x:c r="C20" s="30"/>
      <x:c r="D20" s="30"/>
      <x:c r="E20" s="45"/>
      <x:c r="F20" s="45">
        <x:f>SUMIF($Q$5:$Q$19,1,F5:F19)</x:f>
        <x:v>14131386</x:v>
      </x:c>
      <x:c r="G20" s="45"/>
      <x:c r="H20" s="45">
        <x:f>SUMIF($Q$5:$Q$19,1,H5:H19)</x:f>
        <x:v>8027811</x:v>
      </x:c>
      <x:c r="I20" s="45"/>
      <x:c r="J20" s="45">
        <x:f>SUMIF($Q$5:$Q$19,1,J5:J19)</x:f>
        <x:v>728761</x:v>
      </x:c>
      <x:c r="K20" s="45"/>
      <x:c r="L20" s="45">
        <x:f>F20+H20+J20</x:f>
        <x:v>22887958</x:v>
      </x:c>
      <x:c r="M20" s="28"/>
      <x:c r="R20" s="16">
        <x:f>SUM($R$5:$R$19)</x:f>
        <x:v>728761</x:v>
      </x:c>
      <x:c r="S20" s="16">
        <x:f>SUM($S$5:$S$19)</x:f>
        <x:v>0</x:v>
      </x:c>
      <x:c r="T20" s="16">
        <x:f>SUM($T$5:$T$19)</x:f>
        <x:v>-14400</x:v>
      </x:c>
      <x:c r="U20" s="16">
        <x:f>SUM($U$5:$U$19)</x:f>
        <x:v>0</x:v>
      </x:c>
      <x:c r="V20" s="16">
        <x:f>SUM($V$5:$V$19)</x:f>
        <x:v>0</x:v>
      </x:c>
      <x:c r="W20" s="16">
        <x:f>SUM($W$5:$W$19)</x:f>
        <x:v>0</x:v>
      </x:c>
      <x:c r="X20" s="16">
        <x:f>SUM($X$5:$X$19)</x:f>
        <x:v>42968</x:v>
      </x:c>
      <x:c r="Y20" s="16">
        <x:f>SUM($Y$5:$Y$19)</x:f>
        <x:v>0</x:v>
      </x:c>
      <x:c r="Z20" s="16">
        <x:f>SUM($Z$5:$Z$19)</x:f>
        <x:v>0</x:v>
      </x:c>
      <x:c r="AA20" s="16">
        <x:f>SUM($AA$5:$AA$19)</x:f>
        <x:v>0</x:v>
      </x:c>
      <x:c r="AB20" s="16">
        <x:f>SUM($AB$5:$AB$19)</x:f>
        <x:v>0</x:v>
      </x:c>
      <x:c r="AC20" s="16">
        <x:f>SUM($AC$5:$AC$19)</x:f>
        <x:v>0</x:v>
      </x:c>
      <x:c r="AD20" s="16">
        <x:f>SUM($AD$5:$AD$19)</x:f>
        <x:v>0</x:v>
      </x:c>
      <x:c r="AE20" s="16">
        <x:f>SUM($AE$5:$AE$19)</x:f>
        <x:v>0</x:v>
      </x:c>
      <x:c r="AF20" s="16">
        <x:f>SUM($AF$5:$AF$19)</x:f>
        <x:v>0</x:v>
      </x:c>
      <x:c r="AG20" s="16">
        <x:f>SUM($AG$5:$AG$19)</x:f>
        <x:v>0</x:v>
      </x:c>
      <x:c r="AH20" s="16">
        <x:f>SUM($AH$5:$AH$19)</x:f>
        <x:v>0</x:v>
      </x:c>
      <x:c r="AI20" s="16">
        <x:f>SUM($AI$5:$AI$19)</x:f>
        <x:v>0</x:v>
      </x:c>
      <x:c r="AJ20" s="16">
        <x:f>SUM($AJ$5:$AJ$19)</x:f>
        <x:v>0</x:v>
      </x:c>
      <x:c r="AK20" s="16">
        <x:f>SUM($AK$5:$AK$19)</x:f>
        <x:v>0</x:v>
      </x:c>
      <x:c r="AL20" s="16">
        <x:f>SUM($AL$5:$AL$19)</x:f>
        <x:v>0</x:v>
      </x:c>
    </x:row>
    <x:row r="21" spans="1:13">
      <x:c r="A21" s="56"/>
      <x:c r="B21" s="56"/>
      <x:c r="C21" s="57"/>
      <x:c r="D21" s="57"/>
      <x:c r="E21" s="58"/>
      <x:c r="F21" s="58"/>
      <x:c r="G21" s="58"/>
      <x:c r="H21" s="58"/>
      <x:c r="I21" s="58"/>
      <x:c r="J21" s="58"/>
      <x:c r="K21" s="58"/>
      <x:c r="L21" s="58"/>
      <x:c r="M21" s="59"/>
    </x:row>
    <x:row r="22" spans="5:12">
      <x:c r="E22" s="43"/>
      <x:c r="F22" s="43"/>
      <x:c r="G22" s="43"/>
      <x:c r="H22" s="43"/>
      <x:c r="I22" s="43"/>
      <x:c r="J22" s="43"/>
      <x:c r="K22" s="43"/>
      <x:c r="L22" s="43"/>
    </x:row>
    <x:row r="23" spans="5:12">
      <x:c r="E23" s="43"/>
      <x:c r="F23" s="43"/>
      <x:c r="G23" s="43"/>
      <x:c r="H23" s="43"/>
      <x:c r="I23" s="43"/>
      <x:c r="J23" s="43"/>
      <x:c r="K23" s="43"/>
      <x:c r="L23" s="43"/>
    </x:row>
    <x:row r="24" spans="5:12">
      <x:c r="E24" s="43"/>
      <x:c r="F24" s="43"/>
      <x:c r="G24" s="43"/>
      <x:c r="H24" s="43"/>
      <x:c r="I24" s="43"/>
      <x:c r="J24" s="43"/>
      <x:c r="K24" s="43"/>
      <x:c r="L24" s="43"/>
    </x:row>
    <x:row r="25" spans="5:12">
      <x:c r="E25" s="43"/>
      <x:c r="F25" s="43"/>
      <x:c r="G25" s="43"/>
      <x:c r="H25" s="43"/>
      <x:c r="I25" s="43"/>
      <x:c r="J25" s="43"/>
      <x:c r="K25" s="43"/>
      <x:c r="L25" s="43"/>
    </x:row>
  </x:sheetData>
  <x:mergeCells count="11">
    <x:mergeCell ref="K3:L3"/>
    <x:mergeCell ref="A1:M1"/>
    <x:mergeCell ref="A2:M2"/>
    <x:mergeCell ref="A3:A4"/>
    <x:mergeCell ref="B3:B4"/>
    <x:mergeCell ref="C3:C4"/>
    <x:mergeCell ref="D3:D4"/>
    <x:mergeCell ref="M3:M4"/>
    <x:mergeCell ref="E3:F3"/>
    <x:mergeCell ref="G3:H3"/>
    <x:mergeCell ref="I3:J3"/>
  </x:mergeCells>
  <x:pageMargins left="0.74541664123535156" right="0" top="0.69444441795349121" bottom="0.1388888955116272" header="0.30000001192092896" footer="0.1388888955116272"/>
  <x:pageSetup paperSize="9" scale="100" firstPageNumber="1" fitToWidth="1" fitToHeight="1" orientation="landscape" usePrinterDefaults="1" blackAndWhite="0" draft="0" useFirstPageNumber="0" horizontalDpi="600" verticalDpi="600" copies="1"/>
  <x:rowBreaks count="1" manualBreakCount="1">
    <x:brk id="20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ffffb7"/>
  </x:sheetPr>
  <x:dimension ref="A1:AL101"/>
  <x:sheetViews>
    <x:sheetView topLeftCell="A1" zoomScaleNormal="100" workbookViewId="0">
      <x:selection activeCell="A1" activeCellId="0" sqref="A1:M1"/>
    </x:sheetView>
  </x:sheetViews>
  <x:sheetFormatPr defaultColWidth="9.00390625" defaultRowHeight="10.550000000000001"/>
  <x:cols>
    <x:col min="1" max="2" width="19.625" style="16" customWidth="1"/>
    <x:col min="3" max="3" width="4.625" style="17" customWidth="1"/>
    <x:col min="4" max="5" width="6.625" style="18" customWidth="1"/>
    <x:col min="6" max="6" width="8.625" style="18" customWidth="1"/>
    <x:col min="7" max="7" width="6.625" style="18" customWidth="1"/>
    <x:col min="8" max="8" width="8.625" style="18" customWidth="1"/>
    <x:col min="9" max="9" width="6.625" style="18" customWidth="1"/>
    <x:col min="10" max="10" width="8.625" style="18" customWidth="1"/>
    <x:col min="11" max="11" width="6.625" style="18" customWidth="1"/>
    <x:col min="12" max="13" width="8.625" style="18" customWidth="1"/>
    <x:col min="14" max="38" width="0" style="16" hidden="1" customWidth="1"/>
    <x:col min="39" max="16384" width="9" style="16"/>
  </x:cols>
  <x:sheetData>
    <x:row r="1" spans="1:13" ht="30" customHeight="1">
      <x:c r="A1" s="113" t="s">
        <x:v>258</x:v>
      </x:c>
      <x:c r="B1" s="113"/>
      <x:c r="C1" s="113"/>
      <x:c r="D1" s="113"/>
      <x:c r="E1" s="113"/>
      <x:c r="F1" s="113"/>
      <x:c r="G1" s="113"/>
      <x:c r="H1" s="113"/>
      <x:c r="I1" s="113"/>
      <x:c r="J1" s="113"/>
      <x:c r="K1" s="113"/>
      <x:c r="L1" s="113"/>
      <x:c r="M1" s="113"/>
    </x:row>
    <x:row r="2" spans="1:13" ht="23.100000000000001" customHeight="1">
      <x:c r="A2" s="112" t="s">
        <x:v>240</x:v>
      </x:c>
      <x:c r="B2" s="112"/>
      <x:c r="C2" s="112"/>
      <x:c r="D2" s="112"/>
      <x:c r="E2" s="112"/>
      <x:c r="F2" s="112"/>
      <x:c r="G2" s="112"/>
      <x:c r="H2" s="112"/>
      <x:c r="I2" s="112"/>
      <x:c r="J2" s="112"/>
      <x:c r="K2" s="112"/>
      <x:c r="L2" s="112"/>
      <x:c r="M2" s="112"/>
    </x:row>
    <x:row r="3" spans="1:13" ht="23.100000000000001" customHeight="1">
      <x:c r="A3" s="111" t="s">
        <x:v>70</x:v>
      </x:c>
      <x:c r="B3" s="111" t="s">
        <x:v>73</x:v>
      </x:c>
      <x:c r="C3" s="111" t="s">
        <x:v>225</x:v>
      </x:c>
      <x:c r="D3" s="111" t="s">
        <x:v>332</x:v>
      </x:c>
      <x:c r="E3" s="111" t="s">
        <x:v>358</x:v>
      </x:c>
      <x:c r="F3" s="111"/>
      <x:c r="G3" s="111" t="s">
        <x:v>357</x:v>
      </x:c>
      <x:c r="H3" s="111"/>
      <x:c r="I3" s="111" t="s">
        <x:v>45</x:v>
      </x:c>
      <x:c r="J3" s="111"/>
      <x:c r="K3" s="111" t="s">
        <x:v>46</x:v>
      </x:c>
      <x:c r="L3" s="111"/>
      <x:c r="M3" s="111" t="s">
        <x:v>148</x:v>
      </x:c>
    </x:row>
    <x:row r="4" spans="1:38" ht="23.100000000000001" customHeight="1">
      <x:c r="A4" s="111"/>
      <x:c r="B4" s="111"/>
      <x:c r="C4" s="111"/>
      <x:c r="D4" s="111"/>
      <x:c r="E4" s="22" t="s">
        <x:v>334</x:v>
      </x:c>
      <x:c r="F4" s="22" t="s">
        <x:v>340</x:v>
      </x:c>
      <x:c r="G4" s="22" t="s">
        <x:v>334</x:v>
      </x:c>
      <x:c r="H4" s="22" t="s">
        <x:v>340</x:v>
      </x:c>
      <x:c r="I4" s="22" t="s">
        <x:v>334</x:v>
      </x:c>
      <x:c r="J4" s="22" t="s">
        <x:v>340</x:v>
      </x:c>
      <x:c r="K4" s="22" t="s">
        <x:v>334</x:v>
      </x:c>
      <x:c r="L4" s="22" t="s">
        <x:v>340</x:v>
      </x:c>
      <x:c r="M4" s="111"/>
      <x:c r="N4" s="16" t="s">
        <x:v>336</x:v>
      </x:c>
      <x:c r="O4" s="16" t="s">
        <x:v>337</x:v>
      </x:c>
      <x:c r="P4" s="16" t="s">
        <x:v>338</x:v>
      </x:c>
      <x:c r="Q4" s="16" t="s">
        <x:v>339</x:v>
      </x:c>
      <x:c r="R4" s="16" t="s">
        <x:v>342</x:v>
      </x:c>
      <x:c r="S4" s="16" t="s">
        <x:v>147</x:v>
      </x:c>
      <x:c r="T4" s="16" t="s">
        <x:v>410</x:v>
      </x:c>
      <x:c r="U4" s="16" t="s">
        <x:v>145</x:v>
      </x:c>
      <x:c r="V4" s="16" t="s">
        <x:v>146</x:v>
      </x:c>
      <x:c r="W4" s="16" t="s">
        <x:v>144</x:v>
      </x:c>
      <x:c r="X4" s="16" t="s">
        <x:v>412</x:v>
      </x:c>
      <x:c r="Y4" s="16" t="s">
        <x:v>143</x:v>
      </x:c>
      <x:c r="Z4" s="16" t="s">
        <x:v>409</x:v>
      </x:c>
      <x:c r="AA4" s="16" t="s">
        <x:v>411</x:v>
      </x:c>
      <x:c r="AB4" s="16" t="s">
        <x:v>413</x:v>
      </x:c>
      <x:c r="AC4" s="16" t="s">
        <x:v>414</x:v>
      </x:c>
      <x:c r="AD4" s="16" t="s">
        <x:v>415</x:v>
      </x:c>
      <x:c r="AE4" s="16" t="s">
        <x:v>416</x:v>
      </x:c>
      <x:c r="AF4" s="16" t="s">
        <x:v>417</x:v>
      </x:c>
      <x:c r="AG4" s="16" t="s">
        <x:v>418</x:v>
      </x:c>
      <x:c r="AH4" s="16" t="s">
        <x:v>419</x:v>
      </x:c>
      <x:c r="AI4" s="16" t="s">
        <x:v>420</x:v>
      </x:c>
      <x:c r="AJ4" s="16" t="s">
        <x:v>421</x:v>
      </x:c>
      <x:c r="AK4" s="16" t="s">
        <x:v>422</x:v>
      </x:c>
      <x:c r="AL4" s="16" t="s">
        <x:v>423</x:v>
      </x:c>
    </x:row>
    <x:row r="5" spans="1:13" ht="23.100000000000001" customHeight="1">
      <x:c r="A5" s="114" t="s">
        <x:v>74</x:v>
      </x:c>
      <x:c r="B5" s="114"/>
      <x:c r="C5" s="114"/>
      <x:c r="D5" s="114"/>
      <x:c r="E5" s="114"/>
      <x:c r="F5" s="114"/>
      <x:c r="G5" s="114"/>
      <x:c r="H5" s="114"/>
      <x:c r="I5" s="114"/>
      <x:c r="J5" s="114"/>
      <x:c r="K5" s="114"/>
      <x:c r="L5" s="114"/>
      <x:c r="M5" s="114"/>
    </x:row>
    <x:row r="6" spans="1:37" ht="23.100000000000001" customHeight="1">
      <x:c r="A6" s="83" t="s">
        <x:v>270</x:v>
      </x:c>
      <x:c r="B6" s="94" t="s">
        <x:v>97</x:v>
      </x:c>
      <x:c r="C6" s="30" t="s">
        <x:v>100</x:v>
      </x:c>
      <x:c r="D6" s="44">
        <x:v>163</x:v>
      </x:c>
      <x:c r="E6" s="45">
        <x:f>일위대가목록!G6</x:f>
        <x:v>872</x:v>
      </x:c>
      <x:c r="F6" s="45">
        <x:f>ROUNDDOWN(D6*E6,0)</x:f>
        <x:v>142136</x:v>
      </x:c>
      <x:c r="G6" s="45">
        <x:f>일위대가목록!I6</x:f>
        <x:v>6431</x:v>
      </x:c>
      <x:c r="H6" s="45">
        <x:f>ROUNDDOWN(D6*G6,0)</x:f>
        <x:v>1048253</x:v>
      </x:c>
      <x:c r="I6" s="45"/>
      <x:c r="J6" s="45">
        <x:f>ROUNDDOWN(D6*I6,0)</x:f>
        <x:v>0</x:v>
      </x:c>
      <x:c r="K6" s="45">
        <x:f>E6+G6+I6</x:f>
        <x:v>7303</x:v>
      </x:c>
      <x:c r="L6" s="45">
        <x:f>F6+H6+J6</x:f>
        <x:v>1190389</x:v>
      </x:c>
      <x:c r="M6" s="46" t="s">
        <x:v>388</x:v>
      </x:c>
      <x:c r="P6" s="20" t="s">
        <x:v>342</x:v>
      </x:c>
      <x:c r="Q6" s="16">
        <x:v>1</x:v>
      </x:c>
      <x:c r="R6" s="16">
        <x:f>IF(P6="기계경비",J6,0)</x:f>
        <x:v>0</x:v>
      </x:c>
      <x:c r="S6" s="16">
        <x:f>IF(P6="운반비",J6,0)</x:f>
        <x:v>0</x:v>
      </x:c>
      <x:c r="T6" s="16">
        <x:f>IF(P6="작업부산물",F6,0)</x:f>
        <x:v>0</x:v>
      </x:c>
      <x:c r="U6" s="16">
        <x:f>IF(P6="관급",ROUNDDOWN(D6*E6,0),0)+IF(P6="지급",ROUNDDOWN(D6*E6,0),0)</x:f>
        <x:v>0</x:v>
      </x:c>
      <x:c r="V6" s="16">
        <x:f>IF(P6="외주비",F6+H6+J6,0)</x:f>
        <x:v>0</x:v>
      </x:c>
      <x:c r="W6" s="16">
        <x:f>IF(P6="장비비",F6+H6+J6,0)</x:f>
        <x:v>0</x:v>
      </x:c>
      <x:c r="X6" s="16">
        <x:f>IF(P6="폐기물처리비",J6,0)</x:f>
        <x:v>0</x:v>
      </x:c>
      <x:c r="Y6" s="16">
        <x:f>IF(P6="가설비",J6,0)</x:f>
        <x:v>0</x:v>
      </x:c>
      <x:c r="Z6" s="16">
        <x:f>IF(P6="잡비제외분",F6,0)</x:f>
        <x:v>0</x:v>
      </x:c>
      <x:c r="AA6" s="16">
        <x:f>IF(P6="사급자재대",L6,0)</x:f>
        <x:v>0</x:v>
      </x:c>
      <x:c r="AB6" s="16">
        <x:f>IF(P6="관급자재대",L6,0)</x:f>
        <x:v>0</x:v>
      </x:c>
      <x:c r="AC6" s="16">
        <x:f>IF(P6="사용자항목1",L6,0)</x:f>
        <x:v>0</x:v>
      </x:c>
      <x:c r="AD6" s="16">
        <x:f>IF(P6="사용자항목2",L6,0)</x:f>
        <x:v>0</x:v>
      </x:c>
      <x:c r="AE6" s="16">
        <x:f>IF(P6="사용자항목3",L6,0)</x:f>
        <x:v>0</x:v>
      </x:c>
      <x:c r="AF6" s="16">
        <x:f>IF(P6="사용자항목4",L6,0)</x:f>
        <x:v>0</x:v>
      </x:c>
      <x:c r="AG6" s="16">
        <x:f>IF(P6="사용자항목5",L6,0)</x:f>
        <x:v>0</x:v>
      </x:c>
      <x:c r="AH6" s="16">
        <x:f>IF(P6="사용자항목6",L6,0)</x:f>
        <x:v>0</x:v>
      </x:c>
      <x:c r="AI6" s="16">
        <x:f>IF(P6="사용자항목7",L6,0)</x:f>
        <x:v>0</x:v>
      </x:c>
      <x:c r="AJ6" s="16">
        <x:f>IF(P6="사용자항목8",L6,0)</x:f>
        <x:v>0</x:v>
      </x:c>
      <x:c r="AK6" s="16">
        <x:f>IF(P6="사용자항목9",L6,0)</x:f>
        <x:v>0</x:v>
      </x:c>
    </x:row>
    <x:row r="7" spans="1:37" ht="23.100000000000001" customHeight="1">
      <x:c r="A7" s="29" t="s">
        <x:v>385</x:v>
      </x:c>
      <x:c r="B7" s="29" t="s">
        <x:v>360</x:v>
      </x:c>
      <x:c r="C7" s="30" t="s">
        <x:v>100</x:v>
      </x:c>
      <x:c r="D7" s="44">
        <x:v>28</x:v>
      </x:c>
      <x:c r="E7" s="45"/>
      <x:c r="F7" s="45">
        <x:f>ROUNDDOWN(D7*E7,0)</x:f>
        <x:v>0</x:v>
      </x:c>
      <x:c r="G7" s="45">
        <x:f>일위대가목록!I5</x:f>
        <x:v>1747</x:v>
      </x:c>
      <x:c r="H7" s="45">
        <x:f>ROUNDDOWN(D7*G7,0)</x:f>
        <x:v>48916</x:v>
      </x:c>
      <x:c r="I7" s="45"/>
      <x:c r="J7" s="45">
        <x:f>ROUNDDOWN(D7*I7,0)</x:f>
        <x:v>0</x:v>
      </x:c>
      <x:c r="K7" s="45">
        <x:f>E7+G7+I7</x:f>
        <x:v>1747</x:v>
      </x:c>
      <x:c r="L7" s="45">
        <x:f>F7+H7+J7</x:f>
        <x:v>48916</x:v>
      </x:c>
      <x:c r="M7" s="46" t="s">
        <x:v>386</x:v>
      </x:c>
      <x:c r="P7" s="20" t="s">
        <x:v>342</x:v>
      </x:c>
      <x:c r="Q7" s="16">
        <x:v>1</x:v>
      </x:c>
      <x:c r="R7" s="16">
        <x:f>IF(P7="기계경비",J7,0)</x:f>
        <x:v>0</x:v>
      </x:c>
      <x:c r="S7" s="16">
        <x:f>IF(P7="운반비",J7,0)</x:f>
        <x:v>0</x:v>
      </x:c>
      <x:c r="T7" s="16">
        <x:f>IF(P7="작업부산물",F7,0)</x:f>
        <x:v>0</x:v>
      </x:c>
      <x:c r="U7" s="16">
        <x:f>IF(P7="관급",ROUNDDOWN(D7*E7,0),0)+IF(P7="지급",ROUNDDOWN(D7*E7,0),0)</x:f>
        <x:v>0</x:v>
      </x:c>
      <x:c r="V7" s="16">
        <x:f>IF(P7="외주비",F7+H7+J7,0)</x:f>
        <x:v>0</x:v>
      </x:c>
      <x:c r="W7" s="16">
        <x:f>IF(P7="장비비",F7+H7+J7,0)</x:f>
        <x:v>0</x:v>
      </x:c>
      <x:c r="X7" s="16">
        <x:f>IF(P7="폐기물처리비",J7,0)</x:f>
        <x:v>0</x:v>
      </x:c>
      <x:c r="Y7" s="16">
        <x:f>IF(P7="가설비",J7,0)</x:f>
        <x:v>0</x:v>
      </x:c>
      <x:c r="Z7" s="16">
        <x:f>IF(P7="잡비제외분",F7,0)</x:f>
        <x:v>0</x:v>
      </x:c>
      <x:c r="AA7" s="16">
        <x:f>IF(P7="사급자재대",L7,0)</x:f>
        <x:v>0</x:v>
      </x:c>
      <x:c r="AB7" s="16">
        <x:f>IF(P7="관급자재대",L7,0)</x:f>
        <x:v>0</x:v>
      </x:c>
      <x:c r="AC7" s="16">
        <x:f>IF(P7="사용자항목1",L7,0)</x:f>
        <x:v>0</x:v>
      </x:c>
      <x:c r="AD7" s="16">
        <x:f>IF(P7="사용자항목2",L7,0)</x:f>
        <x:v>0</x:v>
      </x:c>
      <x:c r="AE7" s="16">
        <x:f>IF(P7="사용자항목3",L7,0)</x:f>
        <x:v>0</x:v>
      </x:c>
      <x:c r="AF7" s="16">
        <x:f>IF(P7="사용자항목4",L7,0)</x:f>
        <x:v>0</x:v>
      </x:c>
      <x:c r="AG7" s="16">
        <x:f>IF(P7="사용자항목5",L7,0)</x:f>
        <x:v>0</x:v>
      </x:c>
      <x:c r="AH7" s="16">
        <x:f>IF(P7="사용자항목6",L7,0)</x:f>
        <x:v>0</x:v>
      </x:c>
      <x:c r="AI7" s="16">
        <x:f>IF(P7="사용자항목7",L7,0)</x:f>
        <x:v>0</x:v>
      </x:c>
      <x:c r="AJ7" s="16">
        <x:f>IF(P7="사용자항목8",L7,0)</x:f>
        <x:v>0</x:v>
      </x:c>
      <x:c r="AK7" s="16">
        <x:f>IF(P7="사용자항목9",L7,0)</x:f>
        <x:v>0</x:v>
      </x:c>
    </x:row>
    <x:row r="8" spans="1:13" ht="23.100000000000001" customHeight="1">
      <x:c r="A8" s="29"/>
      <x:c r="B8" s="29"/>
      <x:c r="C8" s="30"/>
      <x:c r="D8" s="31"/>
      <x:c r="E8" s="31"/>
      <x:c r="F8" s="31"/>
      <x:c r="G8" s="31"/>
      <x:c r="H8" s="31"/>
      <x:c r="I8" s="31"/>
      <x:c r="J8" s="31"/>
      <x:c r="K8" s="31"/>
      <x:c r="L8" s="31"/>
      <x:c r="M8" s="31"/>
    </x:row>
    <x:row r="9" spans="1:13" ht="23.100000000000001" customHeight="1">
      <x:c r="A9" s="29"/>
      <x:c r="B9" s="29"/>
      <x:c r="C9" s="30"/>
      <x:c r="D9" s="31"/>
      <x:c r="E9" s="31"/>
      <x:c r="F9" s="31"/>
      <x:c r="G9" s="31"/>
      <x:c r="H9" s="31"/>
      <x:c r="I9" s="31"/>
      <x:c r="J9" s="31"/>
      <x:c r="K9" s="31"/>
      <x:c r="L9" s="31"/>
      <x:c r="M9" s="31"/>
    </x:row>
    <x:row r="10" spans="1:13" ht="23.100000000000001" customHeight="1">
      <x:c r="A10" s="29"/>
      <x:c r="B10" s="29"/>
      <x:c r="C10" s="30"/>
      <x:c r="D10" s="31"/>
      <x:c r="E10" s="31"/>
      <x:c r="F10" s="31"/>
      <x:c r="G10" s="31"/>
      <x:c r="H10" s="31"/>
      <x:c r="I10" s="31"/>
      <x:c r="J10" s="31"/>
      <x:c r="K10" s="31"/>
      <x:c r="L10" s="31"/>
      <x:c r="M10" s="31"/>
    </x:row>
    <x:row r="11" spans="1:13" ht="23.100000000000001" customHeight="1">
      <x:c r="A11" s="29"/>
      <x:c r="B11" s="29"/>
      <x:c r="C11" s="30"/>
      <x:c r="D11" s="31"/>
      <x:c r="E11" s="31"/>
      <x:c r="F11" s="31"/>
      <x:c r="G11" s="31"/>
      <x:c r="H11" s="31"/>
      <x:c r="I11" s="31"/>
      <x:c r="J11" s="31"/>
      <x:c r="K11" s="31"/>
      <x:c r="L11" s="31"/>
      <x:c r="M11" s="31"/>
    </x:row>
    <x:row r="12" spans="1:13" ht="23.100000000000001" customHeight="1">
      <x:c r="A12" s="29"/>
      <x:c r="B12" s="29"/>
      <x:c r="C12" s="30"/>
      <x:c r="D12" s="31"/>
      <x:c r="E12" s="31"/>
      <x:c r="F12" s="31"/>
      <x:c r="G12" s="31"/>
      <x:c r="H12" s="31"/>
      <x:c r="I12" s="31"/>
      <x:c r="J12" s="31"/>
      <x:c r="K12" s="31"/>
      <x:c r="L12" s="31"/>
      <x:c r="M12" s="31"/>
    </x:row>
    <x:row r="13" spans="1:13" ht="23.100000000000001" customHeight="1">
      <x:c r="A13" s="29"/>
      <x:c r="B13" s="29"/>
      <x:c r="C13" s="30"/>
      <x:c r="D13" s="31"/>
      <x:c r="E13" s="31"/>
      <x:c r="F13" s="31"/>
      <x:c r="G13" s="31"/>
      <x:c r="H13" s="31"/>
      <x:c r="I13" s="31"/>
      <x:c r="J13" s="31"/>
      <x:c r="K13" s="31"/>
      <x:c r="L13" s="31"/>
      <x:c r="M13" s="31"/>
    </x:row>
    <x:row r="14" spans="1:13" ht="23.100000000000001" customHeight="1">
      <x:c r="A14" s="29"/>
      <x:c r="B14" s="29"/>
      <x:c r="C14" s="30"/>
      <x:c r="D14" s="31"/>
      <x:c r="E14" s="31"/>
      <x:c r="F14" s="31"/>
      <x:c r="G14" s="31"/>
      <x:c r="H14" s="31"/>
      <x:c r="I14" s="31"/>
      <x:c r="J14" s="31"/>
      <x:c r="K14" s="31"/>
      <x:c r="L14" s="31"/>
      <x:c r="M14" s="31"/>
    </x:row>
    <x:row r="15" spans="1:13" ht="23.100000000000001" customHeight="1">
      <x:c r="A15" s="29"/>
      <x:c r="B15" s="29"/>
      <x:c r="C15" s="30"/>
      <x:c r="D15" s="31"/>
      <x:c r="E15" s="31"/>
      <x:c r="F15" s="31"/>
      <x:c r="G15" s="31"/>
      <x:c r="H15" s="31"/>
      <x:c r="I15" s="31"/>
      <x:c r="J15" s="31"/>
      <x:c r="K15" s="31"/>
      <x:c r="L15" s="31"/>
      <x:c r="M15" s="31"/>
    </x:row>
    <x:row r="16" spans="1:13" ht="23.100000000000001" customHeight="1">
      <x:c r="A16" s="29"/>
      <x:c r="B16" s="29"/>
      <x:c r="C16" s="30"/>
      <x:c r="D16" s="31"/>
      <x:c r="E16" s="31"/>
      <x:c r="F16" s="31"/>
      <x:c r="G16" s="31"/>
      <x:c r="H16" s="31"/>
      <x:c r="I16" s="31"/>
      <x:c r="J16" s="31"/>
      <x:c r="K16" s="31"/>
      <x:c r="L16" s="31"/>
      <x:c r="M16" s="31"/>
    </x:row>
    <x:row r="17" spans="1:13" ht="23.100000000000001" customHeight="1">
      <x:c r="A17" s="29"/>
      <x:c r="B17" s="29"/>
      <x:c r="C17" s="30"/>
      <x:c r="D17" s="31"/>
      <x:c r="E17" s="31"/>
      <x:c r="F17" s="31"/>
      <x:c r="G17" s="31"/>
      <x:c r="H17" s="31"/>
      <x:c r="I17" s="31"/>
      <x:c r="J17" s="31"/>
      <x:c r="K17" s="31"/>
      <x:c r="L17" s="31"/>
      <x:c r="M17" s="31"/>
    </x:row>
    <x:row r="18" spans="1:13" ht="23.100000000000001" customHeight="1">
      <x:c r="A18" s="29"/>
      <x:c r="B18" s="29"/>
      <x:c r="C18" s="30"/>
      <x:c r="D18" s="31"/>
      <x:c r="E18" s="31"/>
      <x:c r="F18" s="31"/>
      <x:c r="G18" s="31"/>
      <x:c r="H18" s="31"/>
      <x:c r="I18" s="31"/>
      <x:c r="J18" s="31"/>
      <x:c r="K18" s="31"/>
      <x:c r="L18" s="31"/>
      <x:c r="M18" s="31"/>
    </x:row>
    <x:row r="19" spans="1:13" ht="23.100000000000001" customHeight="1">
      <x:c r="A19" s="29"/>
      <x:c r="B19" s="29"/>
      <x:c r="C19" s="30"/>
      <x:c r="D19" s="31"/>
      <x:c r="E19" s="31"/>
      <x:c r="F19" s="31"/>
      <x:c r="G19" s="31"/>
      <x:c r="H19" s="31"/>
      <x:c r="I19" s="31"/>
      <x:c r="J19" s="31"/>
      <x:c r="K19" s="31"/>
      <x:c r="L19" s="31"/>
      <x:c r="M19" s="31"/>
    </x:row>
    <x:row r="20" spans="1:38" ht="23.100000000000001" customHeight="1">
      <x:c r="A20" s="24" t="s">
        <x:v>344</x:v>
      </x:c>
      <x:c r="B20" s="29"/>
      <x:c r="C20" s="30"/>
      <x:c r="D20" s="31"/>
      <x:c r="E20" s="45"/>
      <x:c r="F20" s="45">
        <x:f>SUMIF($Q$5:$Q$19,1,$F$5:$F$19)</x:f>
        <x:v>142136</x:v>
      </x:c>
      <x:c r="G20" s="45"/>
      <x:c r="H20" s="45">
        <x:f>SUMIF($Q$5:$Q$19,1,$H$5:$H$19)</x:f>
        <x:v>1097169</x:v>
      </x:c>
      <x:c r="I20" s="45"/>
      <x:c r="J20" s="45">
        <x:f>SUMIF($Q$5:$Q$19,1,$J$5:$J$19)</x:f>
        <x:v>0</x:v>
      </x:c>
      <x:c r="K20" s="45"/>
      <x:c r="L20" s="45">
        <x:f>F20+H20+J20</x:f>
        <x:v>1239305</x:v>
      </x:c>
      <x:c r="M20" s="31"/>
      <x:c r="R20" s="16">
        <x:f>SUM($R$5:$R$19)</x:f>
        <x:v>0</x:v>
      </x:c>
      <x:c r="S20" s="16">
        <x:f>SUM($S$5:$S$19)</x:f>
        <x:v>0</x:v>
      </x:c>
      <x:c r="T20" s="16">
        <x:f>SUM($T$5:$T$19)</x:f>
        <x:v>0</x:v>
      </x:c>
      <x:c r="U20" s="16">
        <x:f>SUM($U$5:$U$19)</x:f>
        <x:v>0</x:v>
      </x:c>
      <x:c r="V20" s="16">
        <x:f>SUM($V$5:$V$19)</x:f>
        <x:v>0</x:v>
      </x:c>
      <x:c r="W20" s="16">
        <x:f>SUM($W$5:$W$19)</x:f>
        <x:v>0</x:v>
      </x:c>
      <x:c r="X20" s="16">
        <x:f>SUM($X$5:$X$19)</x:f>
        <x:v>0</x:v>
      </x:c>
      <x:c r="Y20" s="16">
        <x:f>SUM($Y$5:$Y$19)</x:f>
        <x:v>0</x:v>
      </x:c>
      <x:c r="Z20" s="16">
        <x:f>SUM($Z$5:$Z$19)</x:f>
        <x:v>0</x:v>
      </x:c>
      <x:c r="AA20" s="16">
        <x:f>SUM($AA$5:$AA$19)</x:f>
        <x:v>0</x:v>
      </x:c>
      <x:c r="AB20" s="16">
        <x:f>SUM($AB$5:$AB$19)</x:f>
        <x:v>0</x:v>
      </x:c>
      <x:c r="AC20" s="16">
        <x:f>SUM($AC$5:$AC$19)</x:f>
        <x:v>0</x:v>
      </x:c>
      <x:c r="AD20" s="16">
        <x:f>SUM($AD$5:$AD$19)</x:f>
        <x:v>0</x:v>
      </x:c>
      <x:c r="AE20" s="16">
        <x:f>SUM($AE$5:$AE$19)</x:f>
        <x:v>0</x:v>
      </x:c>
      <x:c r="AF20" s="16">
        <x:f>SUM($AF$5:$AF$19)</x:f>
        <x:v>0</x:v>
      </x:c>
      <x:c r="AG20" s="16">
        <x:f>SUM($AG$5:$AG$19)</x:f>
        <x:v>0</x:v>
      </x:c>
      <x:c r="AH20" s="16">
        <x:f>SUM($AH$5:$AH$19)</x:f>
        <x:v>0</x:v>
      </x:c>
      <x:c r="AI20" s="16">
        <x:f>SUM($AI$5:$AI$19)</x:f>
        <x:v>0</x:v>
      </x:c>
      <x:c r="AJ20" s="16">
        <x:f>SUM($AJ$5:$AJ$19)</x:f>
        <x:v>0</x:v>
      </x:c>
      <x:c r="AK20" s="16">
        <x:f>SUM($AK$5:$AK$19)</x:f>
        <x:v>0</x:v>
      </x:c>
      <x:c r="AL20" s="16">
        <x:f>SUM($AL$5:$AL$19)</x:f>
        <x:v>0</x:v>
      </x:c>
    </x:row>
    <x:row r="21" spans="1:13" ht="23.100000000000001" customHeight="1">
      <x:c r="A21" s="114" t="s">
        <x:v>75</x:v>
      </x:c>
      <x:c r="B21" s="114"/>
      <x:c r="C21" s="114"/>
      <x:c r="D21" s="114"/>
      <x:c r="E21" s="114"/>
      <x:c r="F21" s="114"/>
      <x:c r="G21" s="114"/>
      <x:c r="H21" s="114"/>
      <x:c r="I21" s="114"/>
      <x:c r="J21" s="114"/>
      <x:c r="K21" s="114"/>
      <x:c r="L21" s="114"/>
      <x:c r="M21" s="114"/>
    </x:row>
    <x:row r="22" spans="1:37" ht="23.100000000000001" customHeight="1">
      <x:c r="A22" s="47" t="s">
        <x:v>389</x:v>
      </x:c>
      <x:c r="B22" s="47" t="s">
        <x:v>154</x:v>
      </x:c>
      <x:c r="C22" s="48" t="s">
        <x:v>100</x:v>
      </x:c>
      <x:c r="D22" s="49">
        <x:v>4</x:v>
      </x:c>
      <x:c r="E22" s="50">
        <x:f>일위대가목록!G7</x:f>
        <x:v>1942</x:v>
      </x:c>
      <x:c r="F22" s="50">
        <x:f>ROUNDDOWN(D22*E22,0)</x:f>
        <x:v>7768</x:v>
      </x:c>
      <x:c r="G22" s="50">
        <x:f>일위대가목록!I7</x:f>
        <x:v>7909</x:v>
      </x:c>
      <x:c r="H22" s="50">
        <x:f>ROUNDDOWN(D22*G22,0)</x:f>
        <x:v>31636</x:v>
      </x:c>
      <x:c r="I22" s="50"/>
      <x:c r="J22" s="50">
        <x:f>ROUNDDOWN(D22*I22,0)</x:f>
        <x:v>0</x:v>
      </x:c>
      <x:c r="K22" s="50">
        <x:f>E22+G22+I22</x:f>
        <x:v>9851</x:v>
      </x:c>
      <x:c r="L22" s="50">
        <x:f>F22+H22+J22</x:f>
        <x:v>39404</x:v>
      </x:c>
      <x:c r="M22" s="51" t="s">
        <x:v>390</x:v>
      </x:c>
      <x:c r="P22" s="20" t="s">
        <x:v>342</x:v>
      </x:c>
      <x:c r="Q22" s="16">
        <x:v>1</x:v>
      </x:c>
      <x:c r="R22" s="16">
        <x:f>IF(P22="기계경비",J22,0)</x:f>
        <x:v>0</x:v>
      </x:c>
      <x:c r="S22" s="16">
        <x:f>IF(P22="운반비",J22,0)</x:f>
        <x:v>0</x:v>
      </x:c>
      <x:c r="T22" s="16">
        <x:f>IF(P22="작업부산물",F22,0)</x:f>
        <x:v>0</x:v>
      </x:c>
      <x:c r="U22" s="16">
        <x:f>IF(P22="관급",ROUNDDOWN(D22*E22,0),0)+IF(P22="지급",ROUNDDOWN(D22*E22,0),0)</x:f>
        <x:v>0</x:v>
      </x:c>
      <x:c r="V22" s="16">
        <x:f>IF(P22="외주비",F22+H22+J22,0)</x:f>
        <x:v>0</x:v>
      </x:c>
      <x:c r="W22" s="16">
        <x:f>IF(P22="장비비",F22+H22+J22,0)</x:f>
        <x:v>0</x:v>
      </x:c>
      <x:c r="X22" s="16">
        <x:f>IF(P22="폐기물처리비",J22,0)</x:f>
        <x:v>0</x:v>
      </x:c>
      <x:c r="Y22" s="16">
        <x:f>IF(P22="가설비",J22,0)</x:f>
        <x:v>0</x:v>
      </x:c>
      <x:c r="Z22" s="16">
        <x:f>IF(P22="잡비제외분",F22,0)</x:f>
        <x:v>0</x:v>
      </x:c>
      <x:c r="AA22" s="16">
        <x:f>IF(P22="사급자재대",L22,0)</x:f>
        <x:v>0</x:v>
      </x:c>
      <x:c r="AB22" s="16">
        <x:f>IF(P22="관급자재대",L22,0)</x:f>
        <x:v>0</x:v>
      </x:c>
      <x:c r="AC22" s="16">
        <x:f>IF(P22="사용자항목1",L22,0)</x:f>
        <x:v>0</x:v>
      </x:c>
      <x:c r="AD22" s="16">
        <x:f>IF(P22="사용자항목2",L22,0)</x:f>
        <x:v>0</x:v>
      </x:c>
      <x:c r="AE22" s="16">
        <x:f>IF(P22="사용자항목3",L22,0)</x:f>
        <x:v>0</x:v>
      </x:c>
      <x:c r="AF22" s="16">
        <x:f>IF(P22="사용자항목4",L22,0)</x:f>
        <x:v>0</x:v>
      </x:c>
      <x:c r="AG22" s="16">
        <x:f>IF(P22="사용자항목5",L22,0)</x:f>
        <x:v>0</x:v>
      </x:c>
      <x:c r="AH22" s="16">
        <x:f>IF(P22="사용자항목6",L22,0)</x:f>
        <x:v>0</x:v>
      </x:c>
      <x:c r="AI22" s="16">
        <x:f>IF(P22="사용자항목7",L22,0)</x:f>
        <x:v>0</x:v>
      </x:c>
      <x:c r="AJ22" s="16">
        <x:f>IF(P22="사용자항목8",L22,0)</x:f>
        <x:v>0</x:v>
      </x:c>
      <x:c r="AK22" s="16">
        <x:f>IF(P22="사용자항목9",L22,0)</x:f>
        <x:v>0</x:v>
      </x:c>
    </x:row>
    <x:row r="23" spans="1:37" ht="23.100000000000001" customHeight="1">
      <x:c r="A23" s="47" t="s">
        <x:v>69</x:v>
      </x:c>
      <x:c r="B23" s="47" t="s">
        <x:v>365</x:v>
      </x:c>
      <x:c r="C23" s="48" t="s">
        <x:v>100</x:v>
      </x:c>
      <x:c r="D23" s="49">
        <x:v>0.40000000000000002</x:v>
      </x:c>
      <x:c r="E23" s="50">
        <x:f>일위대가목록!G9</x:f>
        <x:v>3597</x:v>
      </x:c>
      <x:c r="F23" s="50">
        <x:f>ROUNDDOWN(D23*E23,0)</x:f>
        <x:v>1438</x:v>
      </x:c>
      <x:c r="G23" s="50">
        <x:f>일위대가목록!I9</x:f>
        <x:v>15031</x:v>
      </x:c>
      <x:c r="H23" s="50">
        <x:f>ROUNDDOWN(D23*G23,0)</x:f>
        <x:v>6012</x:v>
      </x:c>
      <x:c r="I23" s="50"/>
      <x:c r="J23" s="50">
        <x:f>ROUNDDOWN(D23*I23,0)</x:f>
        <x:v>0</x:v>
      </x:c>
      <x:c r="K23" s="50">
        <x:f>E23+G23+I23</x:f>
        <x:v>18628</x:v>
      </x:c>
      <x:c r="L23" s="50">
        <x:f>F23+H23+J23</x:f>
        <x:v>7450</x:v>
      </x:c>
      <x:c r="M23" s="51" t="s">
        <x:v>392</x:v>
      </x:c>
      <x:c r="P23" s="20" t="s">
        <x:v>342</x:v>
      </x:c>
      <x:c r="Q23" s="16">
        <x:v>1</x:v>
      </x:c>
      <x:c r="R23" s="16">
        <x:f>IF(P23="기계경비",J23,0)</x:f>
        <x:v>0</x:v>
      </x:c>
      <x:c r="S23" s="16">
        <x:f>IF(P23="운반비",J23,0)</x:f>
        <x:v>0</x:v>
      </x:c>
      <x:c r="T23" s="16">
        <x:f>IF(P23="작업부산물",F23,0)</x:f>
        <x:v>0</x:v>
      </x:c>
      <x:c r="U23" s="16">
        <x:f>IF(P23="관급",ROUNDDOWN(D23*E23,0),0)+IF(P23="지급",ROUNDDOWN(D23*E23,0),0)</x:f>
        <x:v>0</x:v>
      </x:c>
      <x:c r="V23" s="16">
        <x:f>IF(P23="외주비",F23+H23+J23,0)</x:f>
        <x:v>0</x:v>
      </x:c>
      <x:c r="W23" s="16">
        <x:f>IF(P23="장비비",F23+H23+J23,0)</x:f>
        <x:v>0</x:v>
      </x:c>
      <x:c r="X23" s="16">
        <x:f>IF(P23="폐기물처리비",J23,0)</x:f>
        <x:v>0</x:v>
      </x:c>
      <x:c r="Y23" s="16">
        <x:f>IF(P23="가설비",J23,0)</x:f>
        <x:v>0</x:v>
      </x:c>
      <x:c r="Z23" s="16">
        <x:f>IF(P23="잡비제외분",F23,0)</x:f>
        <x:v>0</x:v>
      </x:c>
      <x:c r="AA23" s="16">
        <x:f>IF(P23="사급자재대",L23,0)</x:f>
        <x:v>0</x:v>
      </x:c>
      <x:c r="AB23" s="16">
        <x:f>IF(P23="관급자재대",L23,0)</x:f>
        <x:v>0</x:v>
      </x:c>
      <x:c r="AC23" s="16">
        <x:f>IF(P23="사용자항목1",L23,0)</x:f>
        <x:v>0</x:v>
      </x:c>
      <x:c r="AD23" s="16">
        <x:f>IF(P23="사용자항목2",L23,0)</x:f>
        <x:v>0</x:v>
      </x:c>
      <x:c r="AE23" s="16">
        <x:f>IF(P23="사용자항목3",L23,0)</x:f>
        <x:v>0</x:v>
      </x:c>
      <x:c r="AF23" s="16">
        <x:f>IF(P23="사용자항목4",L23,0)</x:f>
        <x:v>0</x:v>
      </x:c>
      <x:c r="AG23" s="16">
        <x:f>IF(P23="사용자항목5",L23,0)</x:f>
        <x:v>0</x:v>
      </x:c>
      <x:c r="AH23" s="16">
        <x:f>IF(P23="사용자항목6",L23,0)</x:f>
        <x:v>0</x:v>
      </x:c>
      <x:c r="AI23" s="16">
        <x:f>IF(P23="사용자항목7",L23,0)</x:f>
        <x:v>0</x:v>
      </x:c>
      <x:c r="AJ23" s="16">
        <x:f>IF(P23="사용자항목8",L23,0)</x:f>
        <x:v>0</x:v>
      </x:c>
      <x:c r="AK23" s="16">
        <x:f>IF(P23="사용자항목9",L23,0)</x:f>
        <x:v>0</x:v>
      </x:c>
    </x:row>
    <x:row r="24" spans="1:37" ht="23.100000000000001" customHeight="1">
      <x:c r="A24" s="47" t="s">
        <x:v>502</x:v>
      </x:c>
      <x:c r="B24" s="47" t="s">
        <x:v>368</x:v>
      </x:c>
      <x:c r="C24" s="48" t="s">
        <x:v>216</x:v>
      </x:c>
      <x:c r="D24" s="49">
        <x:v>1</x:v>
      </x:c>
      <x:c r="E24" s="50">
        <x:f>일위대가목록!G10</x:f>
        <x:v>5107</x:v>
      </x:c>
      <x:c r="F24" s="50">
        <x:f>ROUNDDOWN(D24*E24,0)</x:f>
        <x:v>5107</x:v>
      </x:c>
      <x:c r="G24" s="50">
        <x:f>일위대가목록!I10</x:f>
        <x:v>11355</x:v>
      </x:c>
      <x:c r="H24" s="50">
        <x:f>ROUNDDOWN(D24*G24,0)</x:f>
        <x:v>11355</x:v>
      </x:c>
      <x:c r="I24" s="50">
        <x:f>일위대가목록!K10</x:f>
        <x:v>89</x:v>
      </x:c>
      <x:c r="J24" s="50">
        <x:f>ROUNDDOWN(D24*I24,0)</x:f>
        <x:v>89</x:v>
      </x:c>
      <x:c r="K24" s="50">
        <x:f>E24+G24+I24</x:f>
        <x:v>16551</x:v>
      </x:c>
      <x:c r="L24" s="50">
        <x:f>F24+H24+J24</x:f>
        <x:v>16551</x:v>
      </x:c>
      <x:c r="M24" s="51" t="s">
        <x:v>391</x:v>
      </x:c>
      <x:c r="P24" s="20" t="s">
        <x:v>342</x:v>
      </x:c>
      <x:c r="Q24" s="16">
        <x:v>1</x:v>
      </x:c>
      <x:c r="R24" s="16">
        <x:f>IF(P24="기계경비",J24,0)</x:f>
        <x:v>89</x:v>
      </x:c>
      <x:c r="S24" s="16">
        <x:f>IF(P24="운반비",J24,0)</x:f>
        <x:v>0</x:v>
      </x:c>
      <x:c r="T24" s="16">
        <x:f>IF(P24="작업부산물",F24,0)</x:f>
        <x:v>0</x:v>
      </x:c>
      <x:c r="U24" s="16">
        <x:f>IF(P24="관급",ROUNDDOWN(D24*E24,0),0)+IF(P24="지급",ROUNDDOWN(D24*E24,0),0)</x:f>
        <x:v>0</x:v>
      </x:c>
      <x:c r="V24" s="16">
        <x:f>IF(P24="외주비",F24+H24+J24,0)</x:f>
        <x:v>0</x:v>
      </x:c>
      <x:c r="W24" s="16">
        <x:f>IF(P24="장비비",F24+H24+J24,0)</x:f>
        <x:v>0</x:v>
      </x:c>
      <x:c r="X24" s="16">
        <x:f>IF(P24="폐기물처리비",J24,0)</x:f>
        <x:v>0</x:v>
      </x:c>
      <x:c r="Y24" s="16">
        <x:f>IF(P24="가설비",J24,0)</x:f>
        <x:v>0</x:v>
      </x:c>
      <x:c r="Z24" s="16">
        <x:f>IF(P24="잡비제외분",F24,0)</x:f>
        <x:v>0</x:v>
      </x:c>
      <x:c r="AA24" s="16">
        <x:f>IF(P24="사급자재대",L24,0)</x:f>
        <x:v>0</x:v>
      </x:c>
      <x:c r="AB24" s="16">
        <x:f>IF(P24="관급자재대",L24,0)</x:f>
        <x:v>0</x:v>
      </x:c>
      <x:c r="AC24" s="16">
        <x:f>IF(P24="사용자항목1",L24,0)</x:f>
        <x:v>0</x:v>
      </x:c>
      <x:c r="AD24" s="16">
        <x:f>IF(P24="사용자항목2",L24,0)</x:f>
        <x:v>0</x:v>
      </x:c>
      <x:c r="AE24" s="16">
        <x:f>IF(P24="사용자항목3",L24,0)</x:f>
        <x:v>0</x:v>
      </x:c>
      <x:c r="AF24" s="16">
        <x:f>IF(P24="사용자항목4",L24,0)</x:f>
        <x:v>0</x:v>
      </x:c>
      <x:c r="AG24" s="16">
        <x:f>IF(P24="사용자항목5",L24,0)</x:f>
        <x:v>0</x:v>
      </x:c>
      <x:c r="AH24" s="16">
        <x:f>IF(P24="사용자항목6",L24,0)</x:f>
        <x:v>0</x:v>
      </x:c>
      <x:c r="AI24" s="16">
        <x:f>IF(P24="사용자항목7",L24,0)</x:f>
        <x:v>0</x:v>
      </x:c>
      <x:c r="AJ24" s="16">
        <x:f>IF(P24="사용자항목8",L24,0)</x:f>
        <x:v>0</x:v>
      </x:c>
      <x:c r="AK24" s="16">
        <x:f>IF(P24="사용자항목9",L24,0)</x:f>
        <x:v>0</x:v>
      </x:c>
    </x:row>
    <x:row r="25" spans="1:37" ht="23.100000000000001" customHeight="1">
      <x:c r="A25" s="47" t="s">
        <x:v>393</x:v>
      </x:c>
      <x:c r="B25" s="47" t="s">
        <x:v>57</x:v>
      </x:c>
      <x:c r="C25" s="48" t="s">
        <x:v>100</x:v>
      </x:c>
      <x:c r="D25" s="49">
        <x:v>2</x:v>
      </x:c>
      <x:c r="E25" s="50">
        <x:f>일위대가목록!G16</x:f>
        <x:v>1618</x:v>
      </x:c>
      <x:c r="F25" s="50">
        <x:f>ROUNDDOWN(D25*E25,0)</x:f>
        <x:v>3236</x:v>
      </x:c>
      <x:c r="G25" s="50">
        <x:f>일위대가목록!I16</x:f>
        <x:v>8445</x:v>
      </x:c>
      <x:c r="H25" s="50">
        <x:f>ROUNDDOWN(D25*G25,0)</x:f>
        <x:v>16890</x:v>
      </x:c>
      <x:c r="I25" s="50"/>
      <x:c r="J25" s="50">
        <x:f>ROUNDDOWN(D25*I25,0)</x:f>
        <x:v>0</x:v>
      </x:c>
      <x:c r="K25" s="50">
        <x:f>E25+G25+I25</x:f>
        <x:v>10063</x:v>
      </x:c>
      <x:c r="L25" s="50">
        <x:f>F25+H25+J25</x:f>
        <x:v>20126</x:v>
      </x:c>
      <x:c r="M25" s="51" t="s">
        <x:v>394</x:v>
      </x:c>
      <x:c r="P25" s="20" t="s">
        <x:v>342</x:v>
      </x:c>
      <x:c r="Q25" s="16">
        <x:v>1</x:v>
      </x:c>
      <x:c r="R25" s="16">
        <x:f>IF(P25="기계경비",J25,0)</x:f>
        <x:v>0</x:v>
      </x:c>
      <x:c r="S25" s="16">
        <x:f>IF(P25="운반비",J25,0)</x:f>
        <x:v>0</x:v>
      </x:c>
      <x:c r="T25" s="16">
        <x:f>IF(P25="작업부산물",F25,0)</x:f>
        <x:v>0</x:v>
      </x:c>
      <x:c r="U25" s="16">
        <x:f>IF(P25="관급",ROUNDDOWN(D25*E25,0),0)+IF(P25="지급",ROUNDDOWN(D25*E25,0),0)</x:f>
        <x:v>0</x:v>
      </x:c>
      <x:c r="V25" s="16">
        <x:f>IF(P25="외주비",F25+H25+J25,0)</x:f>
        <x:v>0</x:v>
      </x:c>
      <x:c r="W25" s="16">
        <x:f>IF(P25="장비비",F25+H25+J25,0)</x:f>
        <x:v>0</x:v>
      </x:c>
      <x:c r="X25" s="16">
        <x:f>IF(P25="폐기물처리비",J25,0)</x:f>
        <x:v>0</x:v>
      </x:c>
      <x:c r="Y25" s="16">
        <x:f>IF(P25="가설비",J25,0)</x:f>
        <x:v>0</x:v>
      </x:c>
      <x:c r="Z25" s="16">
        <x:f>IF(P25="잡비제외분",F25,0)</x:f>
        <x:v>0</x:v>
      </x:c>
      <x:c r="AA25" s="16">
        <x:f>IF(P25="사급자재대",L25,0)</x:f>
        <x:v>0</x:v>
      </x:c>
      <x:c r="AB25" s="16">
        <x:f>IF(P25="관급자재대",L25,0)</x:f>
        <x:v>0</x:v>
      </x:c>
      <x:c r="AC25" s="16">
        <x:f>IF(P25="사용자항목1",L25,0)</x:f>
        <x:v>0</x:v>
      </x:c>
      <x:c r="AD25" s="16">
        <x:f>IF(P25="사용자항목2",L25,0)</x:f>
        <x:v>0</x:v>
      </x:c>
      <x:c r="AE25" s="16">
        <x:f>IF(P25="사용자항목3",L25,0)</x:f>
        <x:v>0</x:v>
      </x:c>
      <x:c r="AF25" s="16">
        <x:f>IF(P25="사용자항목4",L25,0)</x:f>
        <x:v>0</x:v>
      </x:c>
      <x:c r="AG25" s="16">
        <x:f>IF(P25="사용자항목5",L25,0)</x:f>
        <x:v>0</x:v>
      </x:c>
      <x:c r="AH25" s="16">
        <x:f>IF(P25="사용자항목6",L25,0)</x:f>
        <x:v>0</x:v>
      </x:c>
      <x:c r="AI25" s="16">
        <x:f>IF(P25="사용자항목7",L25,0)</x:f>
        <x:v>0</x:v>
      </x:c>
      <x:c r="AJ25" s="16">
        <x:f>IF(P25="사용자항목8",L25,0)</x:f>
        <x:v>0</x:v>
      </x:c>
      <x:c r="AK25" s="16">
        <x:f>IF(P25="사용자항목9",L25,0)</x:f>
        <x:v>0</x:v>
      </x:c>
    </x:row>
    <x:row r="26" spans="1:13" ht="23.100000000000001" customHeight="1">
      <x:c r="A26" s="47"/>
      <x:c r="B26" s="47"/>
      <x:c r="C26" s="48"/>
      <x:c r="D26" s="52"/>
      <x:c r="E26" s="52"/>
      <x:c r="F26" s="52"/>
      <x:c r="G26" s="52"/>
      <x:c r="H26" s="52"/>
      <x:c r="I26" s="52"/>
      <x:c r="J26" s="52"/>
      <x:c r="K26" s="52"/>
      <x:c r="L26" s="52"/>
      <x:c r="M26" s="52"/>
    </x:row>
    <x:row r="27" spans="1:13" ht="23.100000000000001" customHeight="1">
      <x:c r="A27" s="47"/>
      <x:c r="B27" s="47"/>
      <x:c r="C27" s="48"/>
      <x:c r="D27" s="52"/>
      <x:c r="E27" s="52"/>
      <x:c r="F27" s="52"/>
      <x:c r="G27" s="52"/>
      <x:c r="H27" s="52"/>
      <x:c r="I27" s="52"/>
      <x:c r="J27" s="52"/>
      <x:c r="K27" s="52"/>
      <x:c r="L27" s="52"/>
      <x:c r="M27" s="52"/>
    </x:row>
    <x:row r="28" spans="1:13" ht="23.100000000000001" customHeight="1">
      <x:c r="A28" s="47"/>
      <x:c r="B28" s="47"/>
      <x:c r="C28" s="48"/>
      <x:c r="D28" s="52"/>
      <x:c r="E28" s="52"/>
      <x:c r="F28" s="52"/>
      <x:c r="G28" s="52"/>
      <x:c r="H28" s="52"/>
      <x:c r="I28" s="52"/>
      <x:c r="J28" s="52"/>
      <x:c r="K28" s="52"/>
      <x:c r="L28" s="52"/>
      <x:c r="M28" s="52"/>
    </x:row>
    <x:row r="29" spans="1:13" ht="23.100000000000001" customHeight="1">
      <x:c r="A29" s="47"/>
      <x:c r="B29" s="47"/>
      <x:c r="C29" s="48"/>
      <x:c r="D29" s="52"/>
      <x:c r="E29" s="52"/>
      <x:c r="F29" s="52"/>
      <x:c r="G29" s="52"/>
      <x:c r="H29" s="52"/>
      <x:c r="I29" s="52"/>
      <x:c r="J29" s="52"/>
      <x:c r="K29" s="52"/>
      <x:c r="L29" s="52"/>
      <x:c r="M29" s="52"/>
    </x:row>
    <x:row r="30" spans="1:13" ht="23.100000000000001" customHeight="1">
      <x:c r="A30" s="47"/>
      <x:c r="B30" s="47"/>
      <x:c r="C30" s="48"/>
      <x:c r="D30" s="52"/>
      <x:c r="E30" s="52"/>
      <x:c r="F30" s="52"/>
      <x:c r="G30" s="52"/>
      <x:c r="H30" s="52"/>
      <x:c r="I30" s="52"/>
      <x:c r="J30" s="52"/>
      <x:c r="K30" s="52"/>
      <x:c r="L30" s="52"/>
      <x:c r="M30" s="52"/>
    </x:row>
    <x:row r="31" spans="1:13" ht="23.100000000000001" customHeight="1">
      <x:c r="A31" s="47"/>
      <x:c r="B31" s="47"/>
      <x:c r="C31" s="48"/>
      <x:c r="D31" s="52"/>
      <x:c r="E31" s="52"/>
      <x:c r="F31" s="52"/>
      <x:c r="G31" s="52"/>
      <x:c r="H31" s="52"/>
      <x:c r="I31" s="52"/>
      <x:c r="J31" s="52"/>
      <x:c r="K31" s="52"/>
      <x:c r="L31" s="52"/>
      <x:c r="M31" s="52"/>
    </x:row>
    <x:row r="32" spans="1:13" ht="23.100000000000001" customHeight="1">
      <x:c r="A32" s="47"/>
      <x:c r="B32" s="47"/>
      <x:c r="C32" s="48"/>
      <x:c r="D32" s="52"/>
      <x:c r="E32" s="52"/>
      <x:c r="F32" s="52"/>
      <x:c r="G32" s="52"/>
      <x:c r="H32" s="52"/>
      <x:c r="I32" s="52"/>
      <x:c r="J32" s="52"/>
      <x:c r="K32" s="52"/>
      <x:c r="L32" s="52"/>
      <x:c r="M32" s="52"/>
    </x:row>
    <x:row r="33" spans="1:13" ht="23.100000000000001" customHeight="1">
      <x:c r="A33" s="47"/>
      <x:c r="B33" s="47"/>
      <x:c r="C33" s="48"/>
      <x:c r="D33" s="52"/>
      <x:c r="E33" s="52"/>
      <x:c r="F33" s="52"/>
      <x:c r="G33" s="52"/>
      <x:c r="H33" s="52"/>
      <x:c r="I33" s="52"/>
      <x:c r="J33" s="52"/>
      <x:c r="K33" s="52"/>
      <x:c r="L33" s="52"/>
      <x:c r="M33" s="52"/>
    </x:row>
    <x:row r="34" spans="1:13" ht="23.100000000000001" customHeight="1">
      <x:c r="A34" s="47"/>
      <x:c r="B34" s="47"/>
      <x:c r="C34" s="48"/>
      <x:c r="D34" s="52"/>
      <x:c r="E34" s="52"/>
      <x:c r="F34" s="52"/>
      <x:c r="G34" s="52"/>
      <x:c r="H34" s="52"/>
      <x:c r="I34" s="52"/>
      <x:c r="J34" s="52"/>
      <x:c r="K34" s="52"/>
      <x:c r="L34" s="52"/>
      <x:c r="M34" s="52"/>
    </x:row>
    <x:row r="35" spans="1:13" ht="23.100000000000001" customHeight="1">
      <x:c r="A35" s="47"/>
      <x:c r="B35" s="47"/>
      <x:c r="C35" s="48"/>
      <x:c r="D35" s="52"/>
      <x:c r="E35" s="52"/>
      <x:c r="F35" s="52"/>
      <x:c r="G35" s="52"/>
      <x:c r="H35" s="52"/>
      <x:c r="I35" s="52"/>
      <x:c r="J35" s="52"/>
      <x:c r="K35" s="52"/>
      <x:c r="L35" s="52"/>
      <x:c r="M35" s="52"/>
    </x:row>
    <x:row r="36" spans="1:38" ht="23.100000000000001" customHeight="1">
      <x:c r="A36" s="53" t="s">
        <x:v>344</x:v>
      </x:c>
      <x:c r="B36" s="47"/>
      <x:c r="C36" s="48"/>
      <x:c r="D36" s="52"/>
      <x:c r="E36" s="50"/>
      <x:c r="F36" s="50">
        <x:f>SUMIF($Q$21:$Q$35,1,$F$21:$F$35)</x:f>
        <x:v>17549</x:v>
      </x:c>
      <x:c r="G36" s="50"/>
      <x:c r="H36" s="50">
        <x:f>SUMIF($Q$21:$Q$35,1,$H$21:$H$35)</x:f>
        <x:v>65893</x:v>
      </x:c>
      <x:c r="I36" s="50"/>
      <x:c r="J36" s="50">
        <x:f>SUMIF($Q$21:$Q$35,1,$J$21:$J$35)</x:f>
        <x:v>89</x:v>
      </x:c>
      <x:c r="K36" s="50"/>
      <x:c r="L36" s="50">
        <x:f>F36+H36+J36</x:f>
        <x:v>83531</x:v>
      </x:c>
      <x:c r="M36" s="52"/>
      <x:c r="R36" s="16">
        <x:f>SUM($R$21:$R$35)</x:f>
        <x:v>89</x:v>
      </x:c>
      <x:c r="S36" s="16">
        <x:f>SUM($S$21:$S$35)</x:f>
        <x:v>0</x:v>
      </x:c>
      <x:c r="T36" s="16">
        <x:f>SUM($T$21:$T$35)</x:f>
        <x:v>0</x:v>
      </x:c>
      <x:c r="U36" s="16">
        <x:f>SUM($U$21:$U$35)</x:f>
        <x:v>0</x:v>
      </x:c>
      <x:c r="V36" s="16">
        <x:f>SUM($V$21:$V$35)</x:f>
        <x:v>0</x:v>
      </x:c>
      <x:c r="W36" s="16">
        <x:f>SUM($W$21:$W$35)</x:f>
        <x:v>0</x:v>
      </x:c>
      <x:c r="X36" s="16">
        <x:f>SUM($X$21:$X$35)</x:f>
        <x:v>0</x:v>
      </x:c>
      <x:c r="Y36" s="16">
        <x:f>SUM($Y$21:$Y$35)</x:f>
        <x:v>0</x:v>
      </x:c>
      <x:c r="Z36" s="16">
        <x:f>SUM($Z$21:$Z$35)</x:f>
        <x:v>0</x:v>
      </x:c>
      <x:c r="AA36" s="16">
        <x:f>SUM($AA$21:$AA$35)</x:f>
        <x:v>0</x:v>
      </x:c>
      <x:c r="AB36" s="16">
        <x:f>SUM($AB$21:$AB$35)</x:f>
        <x:v>0</x:v>
      </x:c>
      <x:c r="AC36" s="16">
        <x:f>SUM($AC$21:$AC$35)</x:f>
        <x:v>0</x:v>
      </x:c>
      <x:c r="AD36" s="16">
        <x:f>SUM($AD$21:$AD$35)</x:f>
        <x:v>0</x:v>
      </x:c>
      <x:c r="AE36" s="16">
        <x:f>SUM($AE$21:$AE$35)</x:f>
        <x:v>0</x:v>
      </x:c>
      <x:c r="AF36" s="16">
        <x:f>SUM($AF$21:$AF$35)</x:f>
        <x:v>0</x:v>
      </x:c>
      <x:c r="AG36" s="16">
        <x:f>SUM($AG$21:$AG$35)</x:f>
        <x:v>0</x:v>
      </x:c>
      <x:c r="AH36" s="16">
        <x:f>SUM($AH$21:$AH$35)</x:f>
        <x:v>0</x:v>
      </x:c>
      <x:c r="AI36" s="16">
        <x:f>SUM($AI$21:$AI$35)</x:f>
        <x:v>0</x:v>
      </x:c>
      <x:c r="AJ36" s="16">
        <x:f>SUM($AJ$21:$AJ$35)</x:f>
        <x:v>0</x:v>
      </x:c>
      <x:c r="AK36" s="16">
        <x:f>SUM($AK$21:$AK$35)</x:f>
        <x:v>0</x:v>
      </x:c>
      <x:c r="AL36" s="16">
        <x:f>SUM($AL$21:$AL$35)</x:f>
        <x:v>0</x:v>
      </x:c>
    </x:row>
    <x:row r="37" spans="1:13" ht="23.100000000000001" customHeight="1">
      <x:c r="A37" s="114" t="s">
        <x:v>78</x:v>
      </x:c>
      <x:c r="B37" s="114"/>
      <x:c r="C37" s="114"/>
      <x:c r="D37" s="114"/>
      <x:c r="E37" s="114"/>
      <x:c r="F37" s="114"/>
      <x:c r="G37" s="114"/>
      <x:c r="H37" s="114"/>
      <x:c r="I37" s="114"/>
      <x:c r="J37" s="114"/>
      <x:c r="K37" s="114"/>
      <x:c r="L37" s="114"/>
      <x:c r="M37" s="114"/>
    </x:row>
    <x:row r="38" spans="1:37" ht="23.100000000000001" customHeight="1">
      <x:c r="A38" s="47" t="s">
        <x:v>239</x:v>
      </x:c>
      <x:c r="B38" s="47" t="s">
        <x:v>59</x:v>
      </x:c>
      <x:c r="C38" s="48" t="s">
        <x:v>100</x:v>
      </x:c>
      <x:c r="D38" s="49">
        <x:v>182</x:v>
      </x:c>
      <x:c r="E38" s="50">
        <x:f>일위대가목록!G17</x:f>
        <x:v>76000</x:v>
      </x:c>
      <x:c r="F38" s="50">
        <x:f>ROUNDDOWN(D38*E38,0)</x:f>
        <x:v>13832000</x:v>
      </x:c>
      <x:c r="G38" s="50">
        <x:f>일위대가목록!I17</x:f>
        <x:v>32000</x:v>
      </x:c>
      <x:c r="H38" s="50">
        <x:f>ROUNDDOWN(D38*G38,0)</x:f>
        <x:v>5824000</x:v>
      </x:c>
      <x:c r="I38" s="50">
        <x:f>일위대가목록!K17</x:f>
        <x:v>4000</x:v>
      </x:c>
      <x:c r="J38" s="50">
        <x:f>ROUNDDOWN(D38*I38,0)</x:f>
        <x:v>728000</x:v>
      </x:c>
      <x:c r="K38" s="50">
        <x:f>E38+G38+I38</x:f>
        <x:v>112000</x:v>
      </x:c>
      <x:c r="L38" s="50">
        <x:f>F38+H38+J38</x:f>
        <x:v>20384000</x:v>
      </x:c>
      <x:c r="M38" s="51" t="s">
        <x:v>396</x:v>
      </x:c>
      <x:c r="P38" s="20" t="s">
        <x:v>342</x:v>
      </x:c>
      <x:c r="Q38" s="16">
        <x:v>1</x:v>
      </x:c>
      <x:c r="R38" s="16">
        <x:f>IF(P38="기계경비",J38,0)</x:f>
        <x:v>728000</x:v>
      </x:c>
      <x:c r="S38" s="16">
        <x:f>IF(P38="운반비",J38,0)</x:f>
        <x:v>0</x:v>
      </x:c>
      <x:c r="T38" s="16">
        <x:f>IF(P38="작업부산물",F38,0)</x:f>
        <x:v>0</x:v>
      </x:c>
      <x:c r="U38" s="16">
        <x:f>IF(P38="관급",ROUNDDOWN(D38*E38,0),0)+IF(P38="지급",ROUNDDOWN(D38*E38,0),0)</x:f>
        <x:v>0</x:v>
      </x:c>
      <x:c r="V38" s="16">
        <x:f>IF(P38="외주비",F38+H38+J38,0)</x:f>
        <x:v>0</x:v>
      </x:c>
      <x:c r="W38" s="16">
        <x:f>IF(P38="장비비",F38+H38+J38,0)</x:f>
        <x:v>0</x:v>
      </x:c>
      <x:c r="X38" s="16">
        <x:f>IF(P38="폐기물처리비",J38,0)</x:f>
        <x:v>0</x:v>
      </x:c>
      <x:c r="Y38" s="16">
        <x:f>IF(P38="가설비",J38,0)</x:f>
        <x:v>0</x:v>
      </x:c>
      <x:c r="Z38" s="16">
        <x:f>IF(P38="잡비제외분",F38,0)</x:f>
        <x:v>0</x:v>
      </x:c>
      <x:c r="AA38" s="16">
        <x:f>IF(P38="사급자재대",L38,0)</x:f>
        <x:v>0</x:v>
      </x:c>
      <x:c r="AB38" s="16">
        <x:f>IF(P38="관급자재대",L38,0)</x:f>
        <x:v>0</x:v>
      </x:c>
      <x:c r="AC38" s="16">
        <x:f>IF(P38="사용자항목1",L38,0)</x:f>
        <x:v>0</x:v>
      </x:c>
      <x:c r="AD38" s="16">
        <x:f>IF(P38="사용자항목2",L38,0)</x:f>
        <x:v>0</x:v>
      </x:c>
      <x:c r="AE38" s="16">
        <x:f>IF(P38="사용자항목3",L38,0)</x:f>
        <x:v>0</x:v>
      </x:c>
      <x:c r="AF38" s="16">
        <x:f>IF(P38="사용자항목4",L38,0)</x:f>
        <x:v>0</x:v>
      </x:c>
      <x:c r="AG38" s="16">
        <x:f>IF(P38="사용자항목5",L38,0)</x:f>
        <x:v>0</x:v>
      </x:c>
      <x:c r="AH38" s="16">
        <x:f>IF(P38="사용자항목6",L38,0)</x:f>
        <x:v>0</x:v>
      </x:c>
      <x:c r="AI38" s="16">
        <x:f>IF(P38="사용자항목7",L38,0)</x:f>
        <x:v>0</x:v>
      </x:c>
      <x:c r="AJ38" s="16">
        <x:f>IF(P38="사용자항목8",L38,0)</x:f>
        <x:v>0</x:v>
      </x:c>
      <x:c r="AK38" s="16">
        <x:f>IF(P38="사용자항목9",L38,0)</x:f>
        <x:v>0</x:v>
      </x:c>
    </x:row>
    <x:row r="39" spans="1:37" ht="23.100000000000001" customHeight="1">
      <x:c r="A39" s="47" t="s">
        <x:v>398</x:v>
      </x:c>
      <x:c r="B39" s="47" t="s">
        <x:v>246</x:v>
      </x:c>
      <x:c r="C39" s="48" t="s">
        <x:v>100</x:v>
      </x:c>
      <x:c r="D39" s="49">
        <x:v>5</x:v>
      </x:c>
      <x:c r="E39" s="50">
        <x:f>일위대가목록!G18</x:f>
        <x:v>12815</x:v>
      </x:c>
      <x:c r="F39" s="50">
        <x:f>ROUNDDOWN(D39*E39,0)</x:f>
        <x:v>64075</x:v>
      </x:c>
      <x:c r="G39" s="50">
        <x:f>일위대가목록!I18</x:f>
        <x:v>8917</x:v>
      </x:c>
      <x:c r="H39" s="50">
        <x:f>ROUNDDOWN(D39*G39,0)</x:f>
        <x:v>44585</x:v>
      </x:c>
      <x:c r="I39" s="50"/>
      <x:c r="J39" s="50">
        <x:f>ROUNDDOWN(D39*I39,0)</x:f>
        <x:v>0</x:v>
      </x:c>
      <x:c r="K39" s="50">
        <x:f>E39+G39+I39</x:f>
        <x:v>21732</x:v>
      </x:c>
      <x:c r="L39" s="50">
        <x:f>F39+H39+J39</x:f>
        <x:v>108660</x:v>
      </x:c>
      <x:c r="M39" s="51" t="s">
        <x:v>395</x:v>
      </x:c>
      <x:c r="P39" s="20" t="s">
        <x:v>342</x:v>
      </x:c>
      <x:c r="Q39" s="16">
        <x:v>1</x:v>
      </x:c>
      <x:c r="R39" s="16">
        <x:f>IF(P39="기계경비",J39,0)</x:f>
        <x:v>0</x:v>
      </x:c>
      <x:c r="S39" s="16">
        <x:f>IF(P39="운반비",J39,0)</x:f>
        <x:v>0</x:v>
      </x:c>
      <x:c r="T39" s="16">
        <x:f>IF(P39="작업부산물",F39,0)</x:f>
        <x:v>0</x:v>
      </x:c>
      <x:c r="U39" s="16">
        <x:f>IF(P39="관급",ROUNDDOWN(D39*E39,0),0)+IF(P39="지급",ROUNDDOWN(D39*E39,0),0)</x:f>
        <x:v>0</x:v>
      </x:c>
      <x:c r="V39" s="16">
        <x:f>IF(P39="외주비",F39+H39+J39,0)</x:f>
        <x:v>0</x:v>
      </x:c>
      <x:c r="W39" s="16">
        <x:f>IF(P39="장비비",F39+H39+J39,0)</x:f>
        <x:v>0</x:v>
      </x:c>
      <x:c r="X39" s="16">
        <x:f>IF(P39="폐기물처리비",J39,0)</x:f>
        <x:v>0</x:v>
      </x:c>
      <x:c r="Y39" s="16">
        <x:f>IF(P39="가설비",J39,0)</x:f>
        <x:v>0</x:v>
      </x:c>
      <x:c r="Z39" s="16">
        <x:f>IF(P39="잡비제외분",F39,0)</x:f>
        <x:v>0</x:v>
      </x:c>
      <x:c r="AA39" s="16">
        <x:f>IF(P39="사급자재대",L39,0)</x:f>
        <x:v>0</x:v>
      </x:c>
      <x:c r="AB39" s="16">
        <x:f>IF(P39="관급자재대",L39,0)</x:f>
        <x:v>0</x:v>
      </x:c>
      <x:c r="AC39" s="16">
        <x:f>IF(P39="사용자항목1",L39,0)</x:f>
        <x:v>0</x:v>
      </x:c>
      <x:c r="AD39" s="16">
        <x:f>IF(P39="사용자항목2",L39,0)</x:f>
        <x:v>0</x:v>
      </x:c>
      <x:c r="AE39" s="16">
        <x:f>IF(P39="사용자항목3",L39,0)</x:f>
        <x:v>0</x:v>
      </x:c>
      <x:c r="AF39" s="16">
        <x:f>IF(P39="사용자항목4",L39,0)</x:f>
        <x:v>0</x:v>
      </x:c>
      <x:c r="AG39" s="16">
        <x:f>IF(P39="사용자항목5",L39,0)</x:f>
        <x:v>0</x:v>
      </x:c>
      <x:c r="AH39" s="16">
        <x:f>IF(P39="사용자항목6",L39,0)</x:f>
        <x:v>0</x:v>
      </x:c>
      <x:c r="AI39" s="16">
        <x:f>IF(P39="사용자항목7",L39,0)</x:f>
        <x:v>0</x:v>
      </x:c>
      <x:c r="AJ39" s="16">
        <x:f>IF(P39="사용자항목8",L39,0)</x:f>
        <x:v>0</x:v>
      </x:c>
      <x:c r="AK39" s="16">
        <x:f>IF(P39="사용자항목9",L39,0)</x:f>
        <x:v>0</x:v>
      </x:c>
    </x:row>
    <x:row r="40" spans="1:37" ht="23.100000000000001" customHeight="1">
      <x:c r="A40" s="47" t="s">
        <x:v>400</x:v>
      </x:c>
      <x:c r="B40" s="47"/>
      <x:c r="C40" s="48" t="s">
        <x:v>100</x:v>
      </x:c>
      <x:c r="D40" s="49">
        <x:v>10</x:v>
      </x:c>
      <x:c r="E40" s="50">
        <x:f>일위대가목록!G19</x:f>
        <x:v>470</x:v>
      </x:c>
      <x:c r="F40" s="50">
        <x:f>ROUNDDOWN(D40*E40,0)</x:f>
        <x:v>4700</x:v>
      </x:c>
      <x:c r="G40" s="50">
        <x:f>일위대가목록!I19</x:f>
        <x:v>5862</x:v>
      </x:c>
      <x:c r="H40" s="50">
        <x:f>ROUNDDOWN(D40*G40,0)</x:f>
        <x:v>58620</x:v>
      </x:c>
      <x:c r="I40" s="50"/>
      <x:c r="J40" s="50">
        <x:f>ROUNDDOWN(D40*I40,0)</x:f>
        <x:v>0</x:v>
      </x:c>
      <x:c r="K40" s="50">
        <x:f>E40+G40+I40</x:f>
        <x:v>6332</x:v>
      </x:c>
      <x:c r="L40" s="50">
        <x:f>F40+H40+J40</x:f>
        <x:v>63320</x:v>
      </x:c>
      <x:c r="M40" s="51" t="s">
        <x:v>397</x:v>
      </x:c>
      <x:c r="P40" s="20" t="s">
        <x:v>342</x:v>
      </x:c>
      <x:c r="Q40" s="16">
        <x:v>1</x:v>
      </x:c>
      <x:c r="R40" s="16">
        <x:f>IF(P40="기계경비",J40,0)</x:f>
        <x:v>0</x:v>
      </x:c>
      <x:c r="S40" s="16">
        <x:f>IF(P40="운반비",J40,0)</x:f>
        <x:v>0</x:v>
      </x:c>
      <x:c r="T40" s="16">
        <x:f>IF(P40="작업부산물",F40,0)</x:f>
        <x:v>0</x:v>
      </x:c>
      <x:c r="U40" s="16">
        <x:f>IF(P40="관급",ROUNDDOWN(D40*E40,0),0)+IF(P40="지급",ROUNDDOWN(D40*E40,0),0)</x:f>
        <x:v>0</x:v>
      </x:c>
      <x:c r="V40" s="16">
        <x:f>IF(P40="외주비",F40+H40+J40,0)</x:f>
        <x:v>0</x:v>
      </x:c>
      <x:c r="W40" s="16">
        <x:f>IF(P40="장비비",F40+H40+J40,0)</x:f>
        <x:v>0</x:v>
      </x:c>
      <x:c r="X40" s="16">
        <x:f>IF(P40="폐기물처리비",J40,0)</x:f>
        <x:v>0</x:v>
      </x:c>
      <x:c r="Y40" s="16">
        <x:f>IF(P40="가설비",J40,0)</x:f>
        <x:v>0</x:v>
      </x:c>
      <x:c r="Z40" s="16">
        <x:f>IF(P40="잡비제외분",F40,0)</x:f>
        <x:v>0</x:v>
      </x:c>
      <x:c r="AA40" s="16">
        <x:f>IF(P40="사급자재대",L40,0)</x:f>
        <x:v>0</x:v>
      </x:c>
      <x:c r="AB40" s="16">
        <x:f>IF(P40="관급자재대",L40,0)</x:f>
        <x:v>0</x:v>
      </x:c>
      <x:c r="AC40" s="16">
        <x:f>IF(P40="사용자항목1",L40,0)</x:f>
        <x:v>0</x:v>
      </x:c>
      <x:c r="AD40" s="16">
        <x:f>IF(P40="사용자항목2",L40,0)</x:f>
        <x:v>0</x:v>
      </x:c>
      <x:c r="AE40" s="16">
        <x:f>IF(P40="사용자항목3",L40,0)</x:f>
        <x:v>0</x:v>
      </x:c>
      <x:c r="AF40" s="16">
        <x:f>IF(P40="사용자항목4",L40,0)</x:f>
        <x:v>0</x:v>
      </x:c>
      <x:c r="AG40" s="16">
        <x:f>IF(P40="사용자항목5",L40,0)</x:f>
        <x:v>0</x:v>
      </x:c>
      <x:c r="AH40" s="16">
        <x:f>IF(P40="사용자항목6",L40,0)</x:f>
        <x:v>0</x:v>
      </x:c>
      <x:c r="AI40" s="16">
        <x:f>IF(P40="사용자항목7",L40,0)</x:f>
        <x:v>0</x:v>
      </x:c>
      <x:c r="AJ40" s="16">
        <x:f>IF(P40="사용자항목8",L40,0)</x:f>
        <x:v>0</x:v>
      </x:c>
      <x:c r="AK40" s="16">
        <x:f>IF(P40="사용자항목9",L40,0)</x:f>
        <x:v>0</x:v>
      </x:c>
    </x:row>
    <x:row r="41" spans="1:13" ht="23.100000000000001" customHeight="1">
      <x:c r="A41" s="47"/>
      <x:c r="B41" s="47"/>
      <x:c r="C41" s="48"/>
      <x:c r="D41" s="52"/>
      <x:c r="E41" s="52"/>
      <x:c r="F41" s="52"/>
      <x:c r="G41" s="52"/>
      <x:c r="H41" s="52"/>
      <x:c r="I41" s="52"/>
      <x:c r="J41" s="52"/>
      <x:c r="K41" s="52"/>
      <x:c r="L41" s="52"/>
      <x:c r="M41" s="52"/>
    </x:row>
    <x:row r="42" spans="1:13" ht="23.100000000000001" customHeight="1">
      <x:c r="A42" s="47"/>
      <x:c r="B42" s="47"/>
      <x:c r="C42" s="48"/>
      <x:c r="D42" s="52"/>
      <x:c r="E42" s="52"/>
      <x:c r="F42" s="52"/>
      <x:c r="G42" s="52"/>
      <x:c r="H42" s="52"/>
      <x:c r="I42" s="52"/>
      <x:c r="J42" s="52"/>
      <x:c r="K42" s="52"/>
      <x:c r="L42" s="52"/>
      <x:c r="M42" s="52"/>
    </x:row>
    <x:row r="43" spans="1:13" ht="23.100000000000001" customHeight="1">
      <x:c r="A43" s="47"/>
      <x:c r="B43" s="47"/>
      <x:c r="C43" s="48"/>
      <x:c r="D43" s="52"/>
      <x:c r="E43" s="52"/>
      <x:c r="F43" s="52"/>
      <x:c r="G43" s="52"/>
      <x:c r="H43" s="52"/>
      <x:c r="I43" s="52"/>
      <x:c r="J43" s="52"/>
      <x:c r="K43" s="52"/>
      <x:c r="L43" s="52"/>
      <x:c r="M43" s="52"/>
    </x:row>
    <x:row r="44" spans="1:13" ht="23.100000000000001" customHeight="1">
      <x:c r="A44" s="47"/>
      <x:c r="B44" s="47"/>
      <x:c r="C44" s="48"/>
      <x:c r="D44" s="52"/>
      <x:c r="E44" s="52"/>
      <x:c r="F44" s="52"/>
      <x:c r="G44" s="52"/>
      <x:c r="H44" s="52"/>
      <x:c r="I44" s="52"/>
      <x:c r="J44" s="52"/>
      <x:c r="K44" s="52"/>
      <x:c r="L44" s="52"/>
      <x:c r="M44" s="52"/>
    </x:row>
    <x:row r="45" spans="1:13" ht="23.100000000000001" customHeight="1">
      <x:c r="A45" s="47"/>
      <x:c r="B45" s="47"/>
      <x:c r="C45" s="48"/>
      <x:c r="D45" s="52"/>
      <x:c r="E45" s="52"/>
      <x:c r="F45" s="52"/>
      <x:c r="G45" s="52"/>
      <x:c r="H45" s="52"/>
      <x:c r="I45" s="52"/>
      <x:c r="J45" s="52"/>
      <x:c r="K45" s="52"/>
      <x:c r="L45" s="52"/>
      <x:c r="M45" s="52"/>
    </x:row>
    <x:row r="46" spans="1:13" ht="23.100000000000001" customHeight="1">
      <x:c r="A46" s="47"/>
      <x:c r="B46" s="47"/>
      <x:c r="C46" s="48"/>
      <x:c r="D46" s="52"/>
      <x:c r="E46" s="52"/>
      <x:c r="F46" s="52"/>
      <x:c r="G46" s="52"/>
      <x:c r="H46" s="52"/>
      <x:c r="I46" s="52"/>
      <x:c r="J46" s="52"/>
      <x:c r="K46" s="52"/>
      <x:c r="L46" s="52"/>
      <x:c r="M46" s="52"/>
    </x:row>
    <x:row r="47" spans="1:13" ht="23.100000000000001" customHeight="1">
      <x:c r="A47" s="47"/>
      <x:c r="B47" s="47"/>
      <x:c r="C47" s="48"/>
      <x:c r="D47" s="52"/>
      <x:c r="E47" s="52"/>
      <x:c r="F47" s="52"/>
      <x:c r="G47" s="52"/>
      <x:c r="H47" s="52"/>
      <x:c r="I47" s="52"/>
      <x:c r="J47" s="52"/>
      <x:c r="K47" s="52"/>
      <x:c r="L47" s="52"/>
      <x:c r="M47" s="52"/>
    </x:row>
    <x:row r="48" spans="1:13" ht="23.100000000000001" customHeight="1">
      <x:c r="A48" s="47"/>
      <x:c r="B48" s="47"/>
      <x:c r="C48" s="48"/>
      <x:c r="D48" s="52"/>
      <x:c r="E48" s="52"/>
      <x:c r="F48" s="52"/>
      <x:c r="G48" s="52"/>
      <x:c r="H48" s="52"/>
      <x:c r="I48" s="52"/>
      <x:c r="J48" s="52"/>
      <x:c r="K48" s="52"/>
      <x:c r="L48" s="52"/>
      <x:c r="M48" s="52"/>
    </x:row>
    <x:row r="49" spans="1:13" ht="23.100000000000001" customHeight="1">
      <x:c r="A49" s="47"/>
      <x:c r="B49" s="47"/>
      <x:c r="C49" s="48"/>
      <x:c r="D49" s="52"/>
      <x:c r="E49" s="52"/>
      <x:c r="F49" s="52"/>
      <x:c r="G49" s="52"/>
      <x:c r="H49" s="52"/>
      <x:c r="I49" s="52"/>
      <x:c r="J49" s="52"/>
      <x:c r="K49" s="52"/>
      <x:c r="L49" s="52"/>
      <x:c r="M49" s="52"/>
    </x:row>
    <x:row r="50" spans="1:13" ht="23.100000000000001" customHeight="1">
      <x:c r="A50" s="47"/>
      <x:c r="B50" s="47"/>
      <x:c r="C50" s="48"/>
      <x:c r="D50" s="52"/>
      <x:c r="E50" s="52"/>
      <x:c r="F50" s="52"/>
      <x:c r="G50" s="52"/>
      <x:c r="H50" s="52"/>
      <x:c r="I50" s="52"/>
      <x:c r="J50" s="52"/>
      <x:c r="K50" s="52"/>
      <x:c r="L50" s="52"/>
      <x:c r="M50" s="52"/>
    </x:row>
    <x:row r="51" spans="1:13" ht="23.100000000000001" customHeight="1">
      <x:c r="A51" s="47"/>
      <x:c r="B51" s="47"/>
      <x:c r="C51" s="48"/>
      <x:c r="D51" s="52"/>
      <x:c r="E51" s="52"/>
      <x:c r="F51" s="52"/>
      <x:c r="G51" s="52"/>
      <x:c r="H51" s="52"/>
      <x:c r="I51" s="52"/>
      <x:c r="J51" s="52"/>
      <x:c r="K51" s="52"/>
      <x:c r="L51" s="52"/>
      <x:c r="M51" s="52"/>
    </x:row>
    <x:row r="52" spans="1:38" ht="23.100000000000001" customHeight="1">
      <x:c r="A52" s="53" t="s">
        <x:v>344</x:v>
      </x:c>
      <x:c r="B52" s="47"/>
      <x:c r="C52" s="48"/>
      <x:c r="D52" s="52"/>
      <x:c r="E52" s="50"/>
      <x:c r="F52" s="50">
        <x:f>SUMIF($Q$37:$Q$51,1,$F$37:$F$51)</x:f>
        <x:v>13900775</x:v>
      </x:c>
      <x:c r="G52" s="50"/>
      <x:c r="H52" s="50">
        <x:f>SUMIF($Q$37:$Q$51,1,$H$37:$H$51)</x:f>
        <x:v>5927205</x:v>
      </x:c>
      <x:c r="I52" s="50"/>
      <x:c r="J52" s="50">
        <x:f>SUMIF($Q$37:$Q$51,1,$J$37:$J$51)</x:f>
        <x:v>728000</x:v>
      </x:c>
      <x:c r="K52" s="50"/>
      <x:c r="L52" s="50">
        <x:f>F52+H52+J52</x:f>
        <x:v>20555980</x:v>
      </x:c>
      <x:c r="M52" s="52"/>
      <x:c r="R52" s="16">
        <x:f>SUM($R$37:$R$51)</x:f>
        <x:v>728000</x:v>
      </x:c>
      <x:c r="S52" s="16">
        <x:f>SUM($S$37:$S$51)</x:f>
        <x:v>0</x:v>
      </x:c>
      <x:c r="T52" s="16">
        <x:f>SUM($T$37:$T$51)</x:f>
        <x:v>0</x:v>
      </x:c>
      <x:c r="U52" s="16">
        <x:f>SUM($U$37:$U$51)</x:f>
        <x:v>0</x:v>
      </x:c>
      <x:c r="V52" s="16">
        <x:f>SUM($V$37:$V$51)</x:f>
        <x:v>0</x:v>
      </x:c>
      <x:c r="W52" s="16">
        <x:f>SUM($W$37:$W$51)</x:f>
        <x:v>0</x:v>
      </x:c>
      <x:c r="X52" s="16">
        <x:f>SUM($X$37:$X$51)</x:f>
        <x:v>0</x:v>
      </x:c>
      <x:c r="Y52" s="16">
        <x:f>SUM($Y$37:$Y$51)</x:f>
        <x:v>0</x:v>
      </x:c>
      <x:c r="Z52" s="16">
        <x:f>SUM($Z$37:$Z$51)</x:f>
        <x:v>0</x:v>
      </x:c>
      <x:c r="AA52" s="16">
        <x:f>SUM($AA$37:$AA$51)</x:f>
        <x:v>0</x:v>
      </x:c>
      <x:c r="AB52" s="16">
        <x:f>SUM($AB$37:$AB$51)</x:f>
        <x:v>0</x:v>
      </x:c>
      <x:c r="AC52" s="16">
        <x:f>SUM($AC$37:$AC$51)</x:f>
        <x:v>0</x:v>
      </x:c>
      <x:c r="AD52" s="16">
        <x:f>SUM($AD$37:$AD$51)</x:f>
        <x:v>0</x:v>
      </x:c>
      <x:c r="AE52" s="16">
        <x:f>SUM($AE$37:$AE$51)</x:f>
        <x:v>0</x:v>
      </x:c>
      <x:c r="AF52" s="16">
        <x:f>SUM($AF$37:$AF$51)</x:f>
        <x:v>0</x:v>
      </x:c>
      <x:c r="AG52" s="16">
        <x:f>SUM($AG$37:$AG$51)</x:f>
        <x:v>0</x:v>
      </x:c>
      <x:c r="AH52" s="16">
        <x:f>SUM($AH$37:$AH$51)</x:f>
        <x:v>0</x:v>
      </x:c>
      <x:c r="AI52" s="16">
        <x:f>SUM($AI$37:$AI$51)</x:f>
        <x:v>0</x:v>
      </x:c>
      <x:c r="AJ52" s="16">
        <x:f>SUM($AJ$37:$AJ$51)</x:f>
        <x:v>0</x:v>
      </x:c>
      <x:c r="AK52" s="16">
        <x:f>SUM($AK$37:$AK$51)</x:f>
        <x:v>0</x:v>
      </x:c>
      <x:c r="AL52" s="16">
        <x:f>SUM($AL$37:$AL$51)</x:f>
        <x:v>0</x:v>
      </x:c>
    </x:row>
    <x:row r="53" spans="1:13" ht="23.100000000000001" customHeight="1">
      <x:c r="A53" s="114" t="s">
        <x:v>76</x:v>
      </x:c>
      <x:c r="B53" s="114"/>
      <x:c r="C53" s="114"/>
      <x:c r="D53" s="114"/>
      <x:c r="E53" s="114"/>
      <x:c r="F53" s="114"/>
      <x:c r="G53" s="114"/>
      <x:c r="H53" s="114"/>
      <x:c r="I53" s="114"/>
      <x:c r="J53" s="114"/>
      <x:c r="K53" s="114"/>
      <x:c r="L53" s="114"/>
      <x:c r="M53" s="114"/>
    </x:row>
    <x:row r="54" spans="1:37" ht="23.100000000000001" customHeight="1">
      <x:c r="A54" s="47" t="s">
        <x:v>402</x:v>
      </x:c>
      <x:c r="B54" s="47" t="s">
        <x:v>377</x:v>
      </x:c>
      <x:c r="C54" s="48" t="s">
        <x:v>100</x:v>
      </x:c>
      <x:c r="D54" s="49">
        <x:v>5</x:v>
      </x:c>
      <x:c r="E54" s="50"/>
      <x:c r="F54" s="50">
        <x:f>ROUNDDOWN(D54*E54,0)</x:f>
        <x:v>0</x:v>
      </x:c>
      <x:c r="G54" s="50">
        <x:f>일위대가목록!I20</x:f>
        <x:v>2634</x:v>
      </x:c>
      <x:c r="H54" s="50">
        <x:f>ROUNDDOWN(D54*G54,0)</x:f>
        <x:v>13170</x:v>
      </x:c>
      <x:c r="I54" s="50"/>
      <x:c r="J54" s="50">
        <x:f>ROUNDDOWN(D54*I54,0)</x:f>
        <x:v>0</x:v>
      </x:c>
      <x:c r="K54" s="50">
        <x:f>E54+G54+I54</x:f>
        <x:v>2634</x:v>
      </x:c>
      <x:c r="L54" s="50">
        <x:f>F54+H54+J54</x:f>
        <x:v>13170</x:v>
      </x:c>
      <x:c r="M54" s="51" t="s">
        <x:v>399</x:v>
      </x:c>
      <x:c r="P54" s="20" t="s">
        <x:v>342</x:v>
      </x:c>
      <x:c r="Q54" s="16">
        <x:v>1</x:v>
      </x:c>
      <x:c r="R54" s="16">
        <x:f>IF(P54="기계경비",J54,0)</x:f>
        <x:v>0</x:v>
      </x:c>
      <x:c r="S54" s="16">
        <x:f>IF(P54="운반비",J54,0)</x:f>
        <x:v>0</x:v>
      </x:c>
      <x:c r="T54" s="16">
        <x:f>IF(P54="작업부산물",F54,0)</x:f>
        <x:v>0</x:v>
      </x:c>
      <x:c r="U54" s="16">
        <x:f>IF(P54="관급",ROUNDDOWN(D54*E54,0),0)+IF(P54="지급",ROUNDDOWN(D54*E54,0),0)</x:f>
        <x:v>0</x:v>
      </x:c>
      <x:c r="V54" s="16">
        <x:f>IF(P54="외주비",F54+H54+J54,0)</x:f>
        <x:v>0</x:v>
      </x:c>
      <x:c r="W54" s="16">
        <x:f>IF(P54="장비비",F54+H54+J54,0)</x:f>
        <x:v>0</x:v>
      </x:c>
      <x:c r="X54" s="16">
        <x:f>IF(P54="폐기물처리비",J54,0)</x:f>
        <x:v>0</x:v>
      </x:c>
      <x:c r="Y54" s="16">
        <x:f>IF(P54="가설비",J54,0)</x:f>
        <x:v>0</x:v>
      </x:c>
      <x:c r="Z54" s="16">
        <x:f>IF(P54="잡비제외분",F54,0)</x:f>
        <x:v>0</x:v>
      </x:c>
      <x:c r="AA54" s="16">
        <x:f>IF(P54="사급자재대",L54,0)</x:f>
        <x:v>0</x:v>
      </x:c>
      <x:c r="AB54" s="16">
        <x:f>IF(P54="관급자재대",L54,0)</x:f>
        <x:v>0</x:v>
      </x:c>
      <x:c r="AC54" s="16">
        <x:f>IF(P54="사용자항목1",L54,0)</x:f>
        <x:v>0</x:v>
      </x:c>
      <x:c r="AD54" s="16">
        <x:f>IF(P54="사용자항목2",L54,0)</x:f>
        <x:v>0</x:v>
      </x:c>
      <x:c r="AE54" s="16">
        <x:f>IF(P54="사용자항목3",L54,0)</x:f>
        <x:v>0</x:v>
      </x:c>
      <x:c r="AF54" s="16">
        <x:f>IF(P54="사용자항목4",L54,0)</x:f>
        <x:v>0</x:v>
      </x:c>
      <x:c r="AG54" s="16">
        <x:f>IF(P54="사용자항목5",L54,0)</x:f>
        <x:v>0</x:v>
      </x:c>
      <x:c r="AH54" s="16">
        <x:f>IF(P54="사용자항목6",L54,0)</x:f>
        <x:v>0</x:v>
      </x:c>
      <x:c r="AI54" s="16">
        <x:f>IF(P54="사용자항목7",L54,0)</x:f>
        <x:v>0</x:v>
      </x:c>
      <x:c r="AJ54" s="16">
        <x:f>IF(P54="사용자항목8",L54,0)</x:f>
        <x:v>0</x:v>
      </x:c>
      <x:c r="AK54" s="16">
        <x:f>IF(P54="사용자항목9",L54,0)</x:f>
        <x:v>0</x:v>
      </x:c>
    </x:row>
    <x:row r="55" spans="1:37" ht="23.100000000000001" customHeight="1">
      <x:c r="A55" s="47" t="s">
        <x:v>504</x:v>
      </x:c>
      <x:c r="B55" s="47"/>
      <x:c r="C55" s="48" t="s">
        <x:v>216</x:v>
      </x:c>
      <x:c r="D55" s="49">
        <x:v>1</x:v>
      </x:c>
      <x:c r="E55" s="50">
        <x:f>일위대가목록!G21</x:f>
        <x:v>1077</x:v>
      </x:c>
      <x:c r="F55" s="50">
        <x:f>ROUNDDOWN(D55*E55,0)</x:f>
        <x:v>1077</x:v>
      </x:c>
      <x:c r="G55" s="50">
        <x:f>일위대가목록!I21</x:f>
        <x:v>35901</x:v>
      </x:c>
      <x:c r="H55" s="50">
        <x:f>ROUNDDOWN(D55*G55,0)</x:f>
        <x:v>35901</x:v>
      </x:c>
      <x:c r="I55" s="50"/>
      <x:c r="J55" s="50">
        <x:f>ROUNDDOWN(D55*I55,0)</x:f>
        <x:v>0</x:v>
      </x:c>
      <x:c r="K55" s="50">
        <x:f>E55+G55+I55</x:f>
        <x:v>36978</x:v>
      </x:c>
      <x:c r="L55" s="50">
        <x:f>F55+H55+J55</x:f>
        <x:v>36978</x:v>
      </x:c>
      <x:c r="M55" s="51" t="s">
        <x:v>401</x:v>
      </x:c>
      <x:c r="P55" s="20" t="s">
        <x:v>342</x:v>
      </x:c>
      <x:c r="Q55" s="16">
        <x:v>1</x:v>
      </x:c>
      <x:c r="R55" s="16">
        <x:f>IF(P55="기계경비",J55,0)</x:f>
        <x:v>0</x:v>
      </x:c>
      <x:c r="S55" s="16">
        <x:f>IF(P55="운반비",J55,0)</x:f>
        <x:v>0</x:v>
      </x:c>
      <x:c r="T55" s="16">
        <x:f>IF(P55="작업부산물",F55,0)</x:f>
        <x:v>0</x:v>
      </x:c>
      <x:c r="U55" s="16">
        <x:f>IF(P55="관급",ROUNDDOWN(D55*E55,0),0)+IF(P55="지급",ROUNDDOWN(D55*E55,0),0)</x:f>
        <x:v>0</x:v>
      </x:c>
      <x:c r="V55" s="16">
        <x:f>IF(P55="외주비",F55+H55+J55,0)</x:f>
        <x:v>0</x:v>
      </x:c>
      <x:c r="W55" s="16">
        <x:f>IF(P55="장비비",F55+H55+J55,0)</x:f>
        <x:v>0</x:v>
      </x:c>
      <x:c r="X55" s="16">
        <x:f>IF(P55="폐기물처리비",J55,0)</x:f>
        <x:v>0</x:v>
      </x:c>
      <x:c r="Y55" s="16">
        <x:f>IF(P55="가설비",J55,0)</x:f>
        <x:v>0</x:v>
      </x:c>
      <x:c r="Z55" s="16">
        <x:f>IF(P55="잡비제외분",F55,0)</x:f>
        <x:v>0</x:v>
      </x:c>
      <x:c r="AA55" s="16">
        <x:f>IF(P55="사급자재대",L55,0)</x:f>
        <x:v>0</x:v>
      </x:c>
      <x:c r="AB55" s="16">
        <x:f>IF(P55="관급자재대",L55,0)</x:f>
        <x:v>0</x:v>
      </x:c>
      <x:c r="AC55" s="16">
        <x:f>IF(P55="사용자항목1",L55,0)</x:f>
        <x:v>0</x:v>
      </x:c>
      <x:c r="AD55" s="16">
        <x:f>IF(P55="사용자항목2",L55,0)</x:f>
        <x:v>0</x:v>
      </x:c>
      <x:c r="AE55" s="16">
        <x:f>IF(P55="사용자항목3",L55,0)</x:f>
        <x:v>0</x:v>
      </x:c>
      <x:c r="AF55" s="16">
        <x:f>IF(P55="사용자항목4",L55,0)</x:f>
        <x:v>0</x:v>
      </x:c>
      <x:c r="AG55" s="16">
        <x:f>IF(P55="사용자항목5",L55,0)</x:f>
        <x:v>0</x:v>
      </x:c>
      <x:c r="AH55" s="16">
        <x:f>IF(P55="사용자항목6",L55,0)</x:f>
        <x:v>0</x:v>
      </x:c>
      <x:c r="AI55" s="16">
        <x:f>IF(P55="사용자항목7",L55,0)</x:f>
        <x:v>0</x:v>
      </x:c>
      <x:c r="AJ55" s="16">
        <x:f>IF(P55="사용자항목8",L55,0)</x:f>
        <x:v>0</x:v>
      </x:c>
      <x:c r="AK55" s="16">
        <x:f>IF(P55="사용자항목9",L55,0)</x:f>
        <x:v>0</x:v>
      </x:c>
    </x:row>
    <x:row r="56" spans="1:37" ht="23.100000000000001" customHeight="1">
      <x:c r="A56" s="47" t="s">
        <x:v>406</x:v>
      </x:c>
      <x:c r="B56" s="47"/>
      <x:c r="C56" s="48" t="s">
        <x:v>100</x:v>
      </x:c>
      <x:c r="D56" s="49">
        <x:v>16</x:v>
      </x:c>
      <x:c r="E56" s="50">
        <x:f>일위대가목록!G22</x:f>
        <x:v>947</x:v>
      </x:c>
      <x:c r="F56" s="50">
        <x:f>ROUNDDOWN(D56*E56,0)</x:f>
        <x:v>15152</x:v>
      </x:c>
      <x:c r="G56" s="50">
        <x:f>일위대가목록!I22</x:f>
        <x:v>18054</x:v>
      </x:c>
      <x:c r="H56" s="50">
        <x:f>ROUNDDOWN(D56*G56,0)</x:f>
        <x:v>288864</x:v>
      </x:c>
      <x:c r="I56" s="50">
        <x:f>일위대가목록!K22</x:f>
        <x:v>42</x:v>
      </x:c>
      <x:c r="J56" s="50">
        <x:f>ROUNDDOWN(D56*I56,0)</x:f>
        <x:v>672</x:v>
      </x:c>
      <x:c r="K56" s="50">
        <x:f>E56+G56+I56</x:f>
        <x:v>19043</x:v>
      </x:c>
      <x:c r="L56" s="50">
        <x:f>F56+H56+J56</x:f>
        <x:v>304688</x:v>
      </x:c>
      <x:c r="M56" s="51" t="s">
        <x:v>404</x:v>
      </x:c>
      <x:c r="P56" s="20" t="s">
        <x:v>342</x:v>
      </x:c>
      <x:c r="Q56" s="16">
        <x:v>1</x:v>
      </x:c>
      <x:c r="R56" s="16">
        <x:f>IF(P56="기계경비",J56,0)</x:f>
        <x:v>672</x:v>
      </x:c>
      <x:c r="S56" s="16">
        <x:f>IF(P56="운반비",J56,0)</x:f>
        <x:v>0</x:v>
      </x:c>
      <x:c r="T56" s="16">
        <x:f>IF(P56="작업부산물",F56,0)</x:f>
        <x:v>0</x:v>
      </x:c>
      <x:c r="U56" s="16">
        <x:f>IF(P56="관급",ROUNDDOWN(D56*E56,0),0)+IF(P56="지급",ROUNDDOWN(D56*E56,0),0)</x:f>
        <x:v>0</x:v>
      </x:c>
      <x:c r="V56" s="16">
        <x:f>IF(P56="외주비",F56+H56+J56,0)</x:f>
        <x:v>0</x:v>
      </x:c>
      <x:c r="W56" s="16">
        <x:f>IF(P56="장비비",F56+H56+J56,0)</x:f>
        <x:v>0</x:v>
      </x:c>
      <x:c r="X56" s="16">
        <x:f>IF(P56="폐기물처리비",J56,0)</x:f>
        <x:v>0</x:v>
      </x:c>
      <x:c r="Y56" s="16">
        <x:f>IF(P56="가설비",J56,0)</x:f>
        <x:v>0</x:v>
      </x:c>
      <x:c r="Z56" s="16">
        <x:f>IF(P56="잡비제외분",F56,0)</x:f>
        <x:v>0</x:v>
      </x:c>
      <x:c r="AA56" s="16">
        <x:f>IF(P56="사급자재대",L56,0)</x:f>
        <x:v>0</x:v>
      </x:c>
      <x:c r="AB56" s="16">
        <x:f>IF(P56="관급자재대",L56,0)</x:f>
        <x:v>0</x:v>
      </x:c>
      <x:c r="AC56" s="16">
        <x:f>IF(P56="사용자항목1",L56,0)</x:f>
        <x:v>0</x:v>
      </x:c>
      <x:c r="AD56" s="16">
        <x:f>IF(P56="사용자항목2",L56,0)</x:f>
        <x:v>0</x:v>
      </x:c>
      <x:c r="AE56" s="16">
        <x:f>IF(P56="사용자항목3",L56,0)</x:f>
        <x:v>0</x:v>
      </x:c>
      <x:c r="AF56" s="16">
        <x:f>IF(P56="사용자항목4",L56,0)</x:f>
        <x:v>0</x:v>
      </x:c>
      <x:c r="AG56" s="16">
        <x:f>IF(P56="사용자항목5",L56,0)</x:f>
        <x:v>0</x:v>
      </x:c>
      <x:c r="AH56" s="16">
        <x:f>IF(P56="사용자항목6",L56,0)</x:f>
        <x:v>0</x:v>
      </x:c>
      <x:c r="AI56" s="16">
        <x:f>IF(P56="사용자항목7",L56,0)</x:f>
        <x:v>0</x:v>
      </x:c>
      <x:c r="AJ56" s="16">
        <x:f>IF(P56="사용자항목8",L56,0)</x:f>
        <x:v>0</x:v>
      </x:c>
      <x:c r="AK56" s="16">
        <x:f>IF(P56="사용자항목9",L56,0)</x:f>
        <x:v>0</x:v>
      </x:c>
    </x:row>
    <x:row r="57" spans="1:37" ht="23.100000000000001" customHeight="1">
      <x:c r="A57" s="47" t="s">
        <x:v>503</x:v>
      </x:c>
      <x:c r="B57" s="47" t="s">
        <x:v>63</x:v>
      </x:c>
      <x:c r="C57" s="48" t="s">
        <x:v>218</x:v>
      </x:c>
      <x:c r="D57" s="49">
        <x:v>7</x:v>
      </x:c>
      <x:c r="E57" s="50">
        <x:f>일위대가목록!G24</x:f>
        <x:v>1436</x:v>
      </x:c>
      <x:c r="F57" s="50">
        <x:f>ROUNDDOWN(D57*E57,0)</x:f>
        <x:v>10052</x:v>
      </x:c>
      <x:c r="G57" s="50">
        <x:f>일위대가목록!I24</x:f>
        <x:v>14367</x:v>
      </x:c>
      <x:c r="H57" s="50">
        <x:f>ROUNDDOWN(D57*G57,0)</x:f>
        <x:v>100569</x:v>
      </x:c>
      <x:c r="I57" s="50"/>
      <x:c r="J57" s="50">
        <x:f>ROUNDDOWN(D57*I57,0)</x:f>
        <x:v>0</x:v>
      </x:c>
      <x:c r="K57" s="50">
        <x:f>E57+G57+I57</x:f>
        <x:v>15803</x:v>
      </x:c>
      <x:c r="L57" s="50">
        <x:f>F57+H57+J57</x:f>
        <x:v>110621</x:v>
      </x:c>
      <x:c r="M57" s="51" t="s">
        <x:v>403</x:v>
      </x:c>
      <x:c r="P57" s="20" t="s">
        <x:v>342</x:v>
      </x:c>
      <x:c r="Q57" s="16">
        <x:v>1</x:v>
      </x:c>
      <x:c r="R57" s="16">
        <x:f>IF(P57="기계경비",J57,0)</x:f>
        <x:v>0</x:v>
      </x:c>
      <x:c r="S57" s="16">
        <x:f>IF(P57="운반비",J57,0)</x:f>
        <x:v>0</x:v>
      </x:c>
      <x:c r="T57" s="16">
        <x:f>IF(P57="작업부산물",F57,0)</x:f>
        <x:v>0</x:v>
      </x:c>
      <x:c r="U57" s="16">
        <x:f>IF(P57="관급",ROUNDDOWN(D57*E57,0),0)+IF(P57="지급",ROUNDDOWN(D57*E57,0),0)</x:f>
        <x:v>0</x:v>
      </x:c>
      <x:c r="V57" s="16">
        <x:f>IF(P57="외주비",F57+H57+J57,0)</x:f>
        <x:v>0</x:v>
      </x:c>
      <x:c r="W57" s="16">
        <x:f>IF(P57="장비비",F57+H57+J57,0)</x:f>
        <x:v>0</x:v>
      </x:c>
      <x:c r="X57" s="16">
        <x:f>IF(P57="폐기물처리비",J57,0)</x:f>
        <x:v>0</x:v>
      </x:c>
      <x:c r="Y57" s="16">
        <x:f>IF(P57="가설비",J57,0)</x:f>
        <x:v>0</x:v>
      </x:c>
      <x:c r="Z57" s="16">
        <x:f>IF(P57="잡비제외분",F57,0)</x:f>
        <x:v>0</x:v>
      </x:c>
      <x:c r="AA57" s="16">
        <x:f>IF(P57="사급자재대",L57,0)</x:f>
        <x:v>0</x:v>
      </x:c>
      <x:c r="AB57" s="16">
        <x:f>IF(P57="관급자재대",L57,0)</x:f>
        <x:v>0</x:v>
      </x:c>
      <x:c r="AC57" s="16">
        <x:f>IF(P57="사용자항목1",L57,0)</x:f>
        <x:v>0</x:v>
      </x:c>
      <x:c r="AD57" s="16">
        <x:f>IF(P57="사용자항목2",L57,0)</x:f>
        <x:v>0</x:v>
      </x:c>
      <x:c r="AE57" s="16">
        <x:f>IF(P57="사용자항목3",L57,0)</x:f>
        <x:v>0</x:v>
      </x:c>
      <x:c r="AF57" s="16">
        <x:f>IF(P57="사용자항목4",L57,0)</x:f>
        <x:v>0</x:v>
      </x:c>
      <x:c r="AG57" s="16">
        <x:f>IF(P57="사용자항목5",L57,0)</x:f>
        <x:v>0</x:v>
      </x:c>
      <x:c r="AH57" s="16">
        <x:f>IF(P57="사용자항목6",L57,0)</x:f>
        <x:v>0</x:v>
      </x:c>
      <x:c r="AI57" s="16">
        <x:f>IF(P57="사용자항목7",L57,0)</x:f>
        <x:v>0</x:v>
      </x:c>
      <x:c r="AJ57" s="16">
        <x:f>IF(P57="사용자항목8",L57,0)</x:f>
        <x:v>0</x:v>
      </x:c>
      <x:c r="AK57" s="16">
        <x:f>IF(P57="사용자항목9",L57,0)</x:f>
        <x:v>0</x:v>
      </x:c>
    </x:row>
    <x:row r="58" spans="1:37" ht="23.100000000000001" customHeight="1">
      <x:c r="A58" s="47" t="s">
        <x:v>500</x:v>
      </x:c>
      <x:c r="B58" s="47" t="s">
        <x:v>505</x:v>
      </x:c>
      <x:c r="C58" s="48" t="s">
        <x:v>216</x:v>
      </x:c>
      <x:c r="D58" s="49">
        <x:v>1</x:v>
      </x:c>
      <x:c r="E58" s="50">
        <x:f>일위대가목록!G25</x:f>
        <x:v>4037</x:v>
      </x:c>
      <x:c r="F58" s="50">
        <x:f>ROUNDDOWN(D58*E58,0)</x:f>
        <x:v>4037</x:v>
      </x:c>
      <x:c r="G58" s="50">
        <x:f>일위대가목록!I25</x:f>
        <x:v>27917</x:v>
      </x:c>
      <x:c r="H58" s="50">
        <x:f>ROUNDDOWN(D58*G58,0)</x:f>
        <x:v>27917</x:v>
      </x:c>
      <x:c r="I58" s="50"/>
      <x:c r="J58" s="50">
        <x:f>ROUNDDOWN(D58*I58,0)</x:f>
        <x:v>0</x:v>
      </x:c>
      <x:c r="K58" s="50">
        <x:f>E58+G58+I58</x:f>
        <x:v>31954</x:v>
      </x:c>
      <x:c r="L58" s="50">
        <x:f>F58+H58+J58</x:f>
        <x:v>31954</x:v>
      </x:c>
      <x:c r="M58" s="51" t="s">
        <x:v>405</x:v>
      </x:c>
      <x:c r="P58" s="20" t="s">
        <x:v>342</x:v>
      </x:c>
      <x:c r="Q58" s="16">
        <x:v>1</x:v>
      </x:c>
      <x:c r="R58" s="16">
        <x:f>IF(P58="기계경비",J58,0)</x:f>
        <x:v>0</x:v>
      </x:c>
      <x:c r="S58" s="16">
        <x:f>IF(P58="운반비",J58,0)</x:f>
        <x:v>0</x:v>
      </x:c>
      <x:c r="T58" s="16">
        <x:f>IF(P58="작업부산물",F58,0)</x:f>
        <x:v>0</x:v>
      </x:c>
      <x:c r="U58" s="16">
        <x:f>IF(P58="관급",ROUNDDOWN(D58*E58,0),0)+IF(P58="지급",ROUNDDOWN(D58*E58,0),0)</x:f>
        <x:v>0</x:v>
      </x:c>
      <x:c r="V58" s="16">
        <x:f>IF(P58="외주비",F58+H58+J58,0)</x:f>
        <x:v>0</x:v>
      </x:c>
      <x:c r="W58" s="16">
        <x:f>IF(P58="장비비",F58+H58+J58,0)</x:f>
        <x:v>0</x:v>
      </x:c>
      <x:c r="X58" s="16">
        <x:f>IF(P58="폐기물처리비",J58,0)</x:f>
        <x:v>0</x:v>
      </x:c>
      <x:c r="Y58" s="16">
        <x:f>IF(P58="가설비",J58,0)</x:f>
        <x:v>0</x:v>
      </x:c>
      <x:c r="Z58" s="16">
        <x:f>IF(P58="잡비제외분",F58,0)</x:f>
        <x:v>0</x:v>
      </x:c>
      <x:c r="AA58" s="16">
        <x:f>IF(P58="사급자재대",L58,0)</x:f>
        <x:v>0</x:v>
      </x:c>
      <x:c r="AB58" s="16">
        <x:f>IF(P58="관급자재대",L58,0)</x:f>
        <x:v>0</x:v>
      </x:c>
      <x:c r="AC58" s="16">
        <x:f>IF(P58="사용자항목1",L58,0)</x:f>
        <x:v>0</x:v>
      </x:c>
      <x:c r="AD58" s="16">
        <x:f>IF(P58="사용자항목2",L58,0)</x:f>
        <x:v>0</x:v>
      </x:c>
      <x:c r="AE58" s="16">
        <x:f>IF(P58="사용자항목3",L58,0)</x:f>
        <x:v>0</x:v>
      </x:c>
      <x:c r="AF58" s="16">
        <x:f>IF(P58="사용자항목4",L58,0)</x:f>
        <x:v>0</x:v>
      </x:c>
      <x:c r="AG58" s="16">
        <x:f>IF(P58="사용자항목5",L58,0)</x:f>
        <x:v>0</x:v>
      </x:c>
      <x:c r="AH58" s="16">
        <x:f>IF(P58="사용자항목6",L58,0)</x:f>
        <x:v>0</x:v>
      </x:c>
      <x:c r="AI58" s="16">
        <x:f>IF(P58="사용자항목7",L58,0)</x:f>
        <x:v>0</x:v>
      </x:c>
      <x:c r="AJ58" s="16">
        <x:f>IF(P58="사용자항목8",L58,0)</x:f>
        <x:v>0</x:v>
      </x:c>
      <x:c r="AK58" s="16">
        <x:f>IF(P58="사용자항목9",L58,0)</x:f>
        <x:v>0</x:v>
      </x:c>
    </x:row>
    <x:row r="59" spans="1:37" ht="23.100000000000001" customHeight="1">
      <x:c r="A59" s="47" t="s">
        <x:v>71</x:v>
      </x:c>
      <x:c r="B59" s="47"/>
      <x:c r="C59" s="48" t="s">
        <x:v>216</x:v>
      </x:c>
      <x:c r="D59" s="49">
        <x:v>2</x:v>
      </x:c>
      <x:c r="E59" s="50">
        <x:f>일위대가목록!G27</x:f>
        <x:v>19909</x:v>
      </x:c>
      <x:c r="F59" s="50">
        <x:f>ROUNDDOWN(D59*E59,0)</x:f>
        <x:v>39818</x:v>
      </x:c>
      <x:c r="G59" s="50">
        <x:f>일위대가목록!I27</x:f>
        <x:v>222391</x:v>
      </x:c>
      <x:c r="H59" s="50">
        <x:f>ROUNDDOWN(D59*G59,0)</x:f>
        <x:v>444782</x:v>
      </x:c>
      <x:c r="I59" s="50"/>
      <x:c r="J59" s="50">
        <x:f>ROUNDDOWN(D59*I59,0)</x:f>
        <x:v>0</x:v>
      </x:c>
      <x:c r="K59" s="50">
        <x:f>E59+G59+I59</x:f>
        <x:v>242300</x:v>
      </x:c>
      <x:c r="L59" s="50">
        <x:f>F59+H59+J59</x:f>
        <x:v>484600</x:v>
      </x:c>
      <x:c r="M59" s="51" t="s">
        <x:v>407</x:v>
      </x:c>
      <x:c r="P59" s="20" t="s">
        <x:v>342</x:v>
      </x:c>
      <x:c r="Q59" s="16">
        <x:v>1</x:v>
      </x:c>
      <x:c r="R59" s="16">
        <x:f>IF(P59="기계경비",J59,0)</x:f>
        <x:v>0</x:v>
      </x:c>
      <x:c r="S59" s="16">
        <x:f>IF(P59="운반비",J59,0)</x:f>
        <x:v>0</x:v>
      </x:c>
      <x:c r="T59" s="16">
        <x:f>IF(P59="작업부산물",F59,0)</x:f>
        <x:v>0</x:v>
      </x:c>
      <x:c r="U59" s="16">
        <x:f>IF(P59="관급",ROUNDDOWN(D59*E59,0),0)+IF(P59="지급",ROUNDDOWN(D59*E59,0),0)</x:f>
        <x:v>0</x:v>
      </x:c>
      <x:c r="V59" s="16">
        <x:f>IF(P59="외주비",F59+H59+J59,0)</x:f>
        <x:v>0</x:v>
      </x:c>
      <x:c r="W59" s="16">
        <x:f>IF(P59="장비비",F59+H59+J59,0)</x:f>
        <x:v>0</x:v>
      </x:c>
      <x:c r="X59" s="16">
        <x:f>IF(P59="폐기물처리비",J59,0)</x:f>
        <x:v>0</x:v>
      </x:c>
      <x:c r="Y59" s="16">
        <x:f>IF(P59="가설비",J59,0)</x:f>
        <x:v>0</x:v>
      </x:c>
      <x:c r="Z59" s="16">
        <x:f>IF(P59="잡비제외분",F59,0)</x:f>
        <x:v>0</x:v>
      </x:c>
      <x:c r="AA59" s="16">
        <x:f>IF(P59="사급자재대",L59,0)</x:f>
        <x:v>0</x:v>
      </x:c>
      <x:c r="AB59" s="16">
        <x:f>IF(P59="관급자재대",L59,0)</x:f>
        <x:v>0</x:v>
      </x:c>
      <x:c r="AC59" s="16">
        <x:f>IF(P59="사용자항목1",L59,0)</x:f>
        <x:v>0</x:v>
      </x:c>
      <x:c r="AD59" s="16">
        <x:f>IF(P59="사용자항목2",L59,0)</x:f>
        <x:v>0</x:v>
      </x:c>
      <x:c r="AE59" s="16">
        <x:f>IF(P59="사용자항목3",L59,0)</x:f>
        <x:v>0</x:v>
      </x:c>
      <x:c r="AF59" s="16">
        <x:f>IF(P59="사용자항목4",L59,0)</x:f>
        <x:v>0</x:v>
      </x:c>
      <x:c r="AG59" s="16">
        <x:f>IF(P59="사용자항목5",L59,0)</x:f>
        <x:v>0</x:v>
      </x:c>
      <x:c r="AH59" s="16">
        <x:f>IF(P59="사용자항목6",L59,0)</x:f>
        <x:v>0</x:v>
      </x:c>
      <x:c r="AI59" s="16">
        <x:f>IF(P59="사용자항목7",L59,0)</x:f>
        <x:v>0</x:v>
      </x:c>
      <x:c r="AJ59" s="16">
        <x:f>IF(P59="사용자항목8",L59,0)</x:f>
        <x:v>0</x:v>
      </x:c>
      <x:c r="AK59" s="16">
        <x:f>IF(P59="사용자항목9",L59,0)</x:f>
        <x:v>0</x:v>
      </x:c>
    </x:row>
    <x:row r="60" spans="1:37" ht="23.100000000000001" customHeight="1">
      <x:c r="A60" s="47" t="s">
        <x:v>72</x:v>
      </x:c>
      <x:c r="B60" s="47"/>
      <x:c r="C60" s="48" t="s">
        <x:v>216</x:v>
      </x:c>
      <x:c r="D60" s="49">
        <x:v>1</x:v>
      </x:c>
      <x:c r="E60" s="50">
        <x:f>일위대가목록!G29</x:f>
        <x:v>790</x:v>
      </x:c>
      <x:c r="F60" s="50">
        <x:f>ROUNDDOWN(D60*E60,0)</x:f>
        <x:v>790</x:v>
      </x:c>
      <x:c r="G60" s="50">
        <x:f>일위대가목록!I29</x:f>
        <x:v>26341</x:v>
      </x:c>
      <x:c r="H60" s="50">
        <x:f>ROUNDDOWN(D60*G60,0)</x:f>
        <x:v>26341</x:v>
      </x:c>
      <x:c r="I60" s="50"/>
      <x:c r="J60" s="50">
        <x:f>ROUNDDOWN(D60*I60,0)</x:f>
        <x:v>0</x:v>
      </x:c>
      <x:c r="K60" s="50">
        <x:f>E60+G60+I60</x:f>
        <x:v>27131</x:v>
      </x:c>
      <x:c r="L60" s="50">
        <x:f>F60+H60+J60</x:f>
        <x:v>27131</x:v>
      </x:c>
      <x:c r="M60" s="51" t="s">
        <x:v>408</x:v>
      </x:c>
      <x:c r="P60" s="20" t="s">
        <x:v>342</x:v>
      </x:c>
      <x:c r="Q60" s="16">
        <x:v>1</x:v>
      </x:c>
      <x:c r="R60" s="16">
        <x:f>IF(P60="기계경비",J60,0)</x:f>
        <x:v>0</x:v>
      </x:c>
      <x:c r="S60" s="16">
        <x:f>IF(P60="운반비",J60,0)</x:f>
        <x:v>0</x:v>
      </x:c>
      <x:c r="T60" s="16">
        <x:f>IF(P60="작업부산물",F60,0)</x:f>
        <x:v>0</x:v>
      </x:c>
      <x:c r="U60" s="16">
        <x:f>IF(P60="관급",ROUNDDOWN(D60*E60,0),0)+IF(P60="지급",ROUNDDOWN(D60*E60,0),0)</x:f>
        <x:v>0</x:v>
      </x:c>
      <x:c r="V60" s="16">
        <x:f>IF(P60="외주비",F60+H60+J60,0)</x:f>
        <x:v>0</x:v>
      </x:c>
      <x:c r="W60" s="16">
        <x:f>IF(P60="장비비",F60+H60+J60,0)</x:f>
        <x:v>0</x:v>
      </x:c>
      <x:c r="X60" s="16">
        <x:f>IF(P60="폐기물처리비",J60,0)</x:f>
        <x:v>0</x:v>
      </x:c>
      <x:c r="Y60" s="16">
        <x:f>IF(P60="가설비",J60,0)</x:f>
        <x:v>0</x:v>
      </x:c>
      <x:c r="Z60" s="16">
        <x:f>IF(P60="잡비제외분",F60,0)</x:f>
        <x:v>0</x:v>
      </x:c>
      <x:c r="AA60" s="16">
        <x:f>IF(P60="사급자재대",L60,0)</x:f>
        <x:v>0</x:v>
      </x:c>
      <x:c r="AB60" s="16">
        <x:f>IF(P60="관급자재대",L60,0)</x:f>
        <x:v>0</x:v>
      </x:c>
      <x:c r="AC60" s="16">
        <x:f>IF(P60="사용자항목1",L60,0)</x:f>
        <x:v>0</x:v>
      </x:c>
      <x:c r="AD60" s="16">
        <x:f>IF(P60="사용자항목2",L60,0)</x:f>
        <x:v>0</x:v>
      </x:c>
      <x:c r="AE60" s="16">
        <x:f>IF(P60="사용자항목3",L60,0)</x:f>
        <x:v>0</x:v>
      </x:c>
      <x:c r="AF60" s="16">
        <x:f>IF(P60="사용자항목4",L60,0)</x:f>
        <x:v>0</x:v>
      </x:c>
      <x:c r="AG60" s="16">
        <x:f>IF(P60="사용자항목5",L60,0)</x:f>
        <x:v>0</x:v>
      </x:c>
      <x:c r="AH60" s="16">
        <x:f>IF(P60="사용자항목6",L60,0)</x:f>
        <x:v>0</x:v>
      </x:c>
      <x:c r="AI60" s="16">
        <x:f>IF(P60="사용자항목7",L60,0)</x:f>
        <x:v>0</x:v>
      </x:c>
      <x:c r="AJ60" s="16">
        <x:f>IF(P60="사용자항목8",L60,0)</x:f>
        <x:v>0</x:v>
      </x:c>
      <x:c r="AK60" s="16">
        <x:f>IF(P60="사용자항목9",L60,0)</x:f>
        <x:v>0</x:v>
      </x:c>
    </x:row>
    <x:row r="61" spans="1:13" ht="23.100000000000001" customHeight="1">
      <x:c r="A61" s="47"/>
      <x:c r="B61" s="47"/>
      <x:c r="C61" s="48"/>
      <x:c r="D61" s="52"/>
      <x:c r="E61" s="52"/>
      <x:c r="F61" s="52"/>
      <x:c r="G61" s="52"/>
      <x:c r="H61" s="52"/>
      <x:c r="I61" s="52"/>
      <x:c r="J61" s="52"/>
      <x:c r="K61" s="52"/>
      <x:c r="L61" s="52"/>
      <x:c r="M61" s="52"/>
    </x:row>
    <x:row r="62" spans="1:13" ht="23.100000000000001" customHeight="1">
      <x:c r="A62" s="47"/>
      <x:c r="B62" s="47"/>
      <x:c r="C62" s="48"/>
      <x:c r="D62" s="52"/>
      <x:c r="E62" s="52"/>
      <x:c r="F62" s="52"/>
      <x:c r="G62" s="52"/>
      <x:c r="H62" s="52"/>
      <x:c r="I62" s="52"/>
      <x:c r="J62" s="52"/>
      <x:c r="K62" s="52"/>
      <x:c r="L62" s="52"/>
      <x:c r="M62" s="52"/>
    </x:row>
    <x:row r="63" spans="1:13" ht="23.100000000000001" customHeight="1">
      <x:c r="A63" s="47"/>
      <x:c r="B63" s="47"/>
      <x:c r="C63" s="48"/>
      <x:c r="D63" s="52"/>
      <x:c r="E63" s="52"/>
      <x:c r="F63" s="52"/>
      <x:c r="G63" s="52"/>
      <x:c r="H63" s="52"/>
      <x:c r="I63" s="52"/>
      <x:c r="J63" s="52"/>
      <x:c r="K63" s="52"/>
      <x:c r="L63" s="52"/>
      <x:c r="M63" s="52"/>
    </x:row>
    <x:row r="64" spans="1:13" ht="23.100000000000001" customHeight="1">
      <x:c r="A64" s="47"/>
      <x:c r="B64" s="47"/>
      <x:c r="C64" s="48"/>
      <x:c r="D64" s="52"/>
      <x:c r="E64" s="52"/>
      <x:c r="F64" s="52"/>
      <x:c r="G64" s="52"/>
      <x:c r="H64" s="52"/>
      <x:c r="I64" s="52"/>
      <x:c r="J64" s="52"/>
      <x:c r="K64" s="52"/>
      <x:c r="L64" s="52"/>
      <x:c r="M64" s="52"/>
    </x:row>
    <x:row r="65" spans="1:13" ht="23.100000000000001" customHeight="1">
      <x:c r="A65" s="47"/>
      <x:c r="B65" s="47"/>
      <x:c r="C65" s="48"/>
      <x:c r="D65" s="52"/>
      <x:c r="E65" s="52"/>
      <x:c r="F65" s="52"/>
      <x:c r="G65" s="52"/>
      <x:c r="H65" s="52"/>
      <x:c r="I65" s="52"/>
      <x:c r="J65" s="52"/>
      <x:c r="K65" s="52"/>
      <x:c r="L65" s="52"/>
      <x:c r="M65" s="52"/>
    </x:row>
    <x:row r="66" spans="1:13" ht="23.100000000000001" customHeight="1">
      <x:c r="A66" s="47"/>
      <x:c r="B66" s="47"/>
      <x:c r="C66" s="48"/>
      <x:c r="D66" s="52"/>
      <x:c r="E66" s="52"/>
      <x:c r="F66" s="52"/>
      <x:c r="G66" s="52"/>
      <x:c r="H66" s="52"/>
      <x:c r="I66" s="52"/>
      <x:c r="J66" s="52"/>
      <x:c r="K66" s="52"/>
      <x:c r="L66" s="52"/>
      <x:c r="M66" s="52"/>
    </x:row>
    <x:row r="67" spans="1:13" ht="23.100000000000001" customHeight="1">
      <x:c r="A67" s="47"/>
      <x:c r="B67" s="47"/>
      <x:c r="C67" s="48"/>
      <x:c r="D67" s="52"/>
      <x:c r="E67" s="52"/>
      <x:c r="F67" s="52"/>
      <x:c r="G67" s="52"/>
      <x:c r="H67" s="52"/>
      <x:c r="I67" s="52"/>
      <x:c r="J67" s="52"/>
      <x:c r="K67" s="52"/>
      <x:c r="L67" s="52"/>
      <x:c r="M67" s="52"/>
    </x:row>
    <x:row r="68" spans="1:38" ht="23.100000000000001" customHeight="1">
      <x:c r="A68" s="53" t="s">
        <x:v>344</x:v>
      </x:c>
      <x:c r="B68" s="47"/>
      <x:c r="C68" s="48"/>
      <x:c r="D68" s="52"/>
      <x:c r="E68" s="50"/>
      <x:c r="F68" s="50">
        <x:f>SUMIF($Q$53:$Q$67,1,$F$53:$F$67)</x:f>
        <x:v>70926</x:v>
      </x:c>
      <x:c r="G68" s="50"/>
      <x:c r="H68" s="50">
        <x:f>SUMIF($Q$53:$Q$67,1,$H$53:$H$67)</x:f>
        <x:v>937544</x:v>
      </x:c>
      <x:c r="I68" s="50"/>
      <x:c r="J68" s="50">
        <x:f>SUMIF($Q$53:$Q$67,1,$J$53:$J$67)</x:f>
        <x:v>672</x:v>
      </x:c>
      <x:c r="K68" s="50"/>
      <x:c r="L68" s="50">
        <x:f>F68+H68+J68</x:f>
        <x:v>1009142</x:v>
      </x:c>
      <x:c r="M68" s="52"/>
      <x:c r="R68" s="16">
        <x:f>SUM($R$53:$R$67)</x:f>
        <x:v>672</x:v>
      </x:c>
      <x:c r="S68" s="16">
        <x:f>SUM($S$53:$S$67)</x:f>
        <x:v>0</x:v>
      </x:c>
      <x:c r="T68" s="16">
        <x:f>SUM($T$53:$T$67)</x:f>
        <x:v>0</x:v>
      </x:c>
      <x:c r="U68" s="16">
        <x:f>SUM($U$53:$U$67)</x:f>
        <x:v>0</x:v>
      </x:c>
      <x:c r="V68" s="16">
        <x:f>SUM($V$53:$V$67)</x:f>
        <x:v>0</x:v>
      </x:c>
      <x:c r="W68" s="16">
        <x:f>SUM($W$53:$W$67)</x:f>
        <x:v>0</x:v>
      </x:c>
      <x:c r="X68" s="16">
        <x:f>SUM($X$53:$X$67)</x:f>
        <x:v>0</x:v>
      </x:c>
      <x:c r="Y68" s="16">
        <x:f>SUM($Y$53:$Y$67)</x:f>
        <x:v>0</x:v>
      </x:c>
      <x:c r="Z68" s="16">
        <x:f>SUM($Z$53:$Z$67)</x:f>
        <x:v>0</x:v>
      </x:c>
      <x:c r="AA68" s="16">
        <x:f>SUM($AA$53:$AA$67)</x:f>
        <x:v>0</x:v>
      </x:c>
      <x:c r="AB68" s="16">
        <x:f>SUM($AB$53:$AB$67)</x:f>
        <x:v>0</x:v>
      </x:c>
      <x:c r="AC68" s="16">
        <x:f>SUM($AC$53:$AC$67)</x:f>
        <x:v>0</x:v>
      </x:c>
      <x:c r="AD68" s="16">
        <x:f>SUM($AD$53:$AD$67)</x:f>
        <x:v>0</x:v>
      </x:c>
      <x:c r="AE68" s="16">
        <x:f>SUM($AE$53:$AE$67)</x:f>
        <x:v>0</x:v>
      </x:c>
      <x:c r="AF68" s="16">
        <x:f>SUM($AF$53:$AF$67)</x:f>
        <x:v>0</x:v>
      </x:c>
      <x:c r="AG68" s="16">
        <x:f>SUM($AG$53:$AG$67)</x:f>
        <x:v>0</x:v>
      </x:c>
      <x:c r="AH68" s="16">
        <x:f>SUM($AH$53:$AH$67)</x:f>
        <x:v>0</x:v>
      </x:c>
      <x:c r="AI68" s="16">
        <x:f>SUM($AI$53:$AI$67)</x:f>
        <x:v>0</x:v>
      </x:c>
      <x:c r="AJ68" s="16">
        <x:f>SUM($AJ$53:$AJ$67)</x:f>
        <x:v>0</x:v>
      </x:c>
      <x:c r="AK68" s="16">
        <x:f>SUM($AK$53:$AK$67)</x:f>
        <x:v>0</x:v>
      </x:c>
      <x:c r="AL68" s="16">
        <x:f>SUM($AL$53:$AL$67)</x:f>
        <x:v>0</x:v>
      </x:c>
    </x:row>
    <x:row r="69" spans="1:13" ht="23.100000000000001" customHeight="1">
      <x:c r="A69" s="114" t="s">
        <x:v>77</x:v>
      </x:c>
      <x:c r="B69" s="114"/>
      <x:c r="C69" s="114"/>
      <x:c r="D69" s="114"/>
      <x:c r="E69" s="114"/>
      <x:c r="F69" s="114"/>
      <x:c r="G69" s="114"/>
      <x:c r="H69" s="114"/>
      <x:c r="I69" s="114"/>
      <x:c r="J69" s="114"/>
      <x:c r="K69" s="114"/>
      <x:c r="L69" s="114"/>
      <x:c r="M69" s="114"/>
    </x:row>
    <x:row r="70" spans="1:37" ht="23.100000000000001" customHeight="1">
      <x:c r="A70" s="47" t="s">
        <x:v>14</x:v>
      </x:c>
      <x:c r="B70" s="47" t="s">
        <x:v>335</x:v>
      </x:c>
      <x:c r="C70" s="48" t="s">
        <x:v>215</x:v>
      </x:c>
      <x:c r="D70" s="49">
        <x:v>0.010000000000000001</x:v>
      </x:c>
      <x:c r="E70" s="50"/>
      <x:c r="F70" s="50">
        <x:f>ROUNDDOWN(D70*E70,0)</x:f>
        <x:v>0</x:v>
      </x:c>
      <x:c r="G70" s="50"/>
      <x:c r="H70" s="50">
        <x:f>ROUNDDOWN(D70*G70,0)</x:f>
        <x:v>0</x:v>
      </x:c>
      <x:c r="I70" s="50">
        <x:f>자재단가대비표!N63</x:f>
        <x:v>18065</x:v>
      </x:c>
      <x:c r="J70" s="50">
        <x:f>ROUNDDOWN(D70*I70,0)</x:f>
        <x:v>180</x:v>
      </x:c>
      <x:c r="K70" s="50">
        <x:f>E70+G70+I70</x:f>
        <x:v>18065</x:v>
      </x:c>
      <x:c r="L70" s="50">
        <x:f>F70+H70+J70</x:f>
        <x:v>180</x:v>
      </x:c>
      <x:c r="M70" s="52"/>
      <x:c r="O70" s="20" t="s">
        <x:v>164</x:v>
      </x:c>
      <x:c r="P70" s="20" t="s">
        <x:v>412</x:v>
      </x:c>
      <x:c r="Q70" s="16">
        <x:v>1</x:v>
      </x:c>
      <x:c r="R70" s="16">
        <x:f>IF(P70="기계경비",J70,0)</x:f>
        <x:v>0</x:v>
      </x:c>
      <x:c r="S70" s="16">
        <x:f>IF(P70="운반비",J70,0)</x:f>
        <x:v>0</x:v>
      </x:c>
      <x:c r="T70" s="16">
        <x:f>IF(P70="작업부산물",F70,0)</x:f>
        <x:v>0</x:v>
      </x:c>
      <x:c r="U70" s="16">
        <x:f>IF(P70="관급",ROUNDDOWN(D70*E70,0),0)+IF(P70="지급",ROUNDDOWN(D70*E70,0),0)</x:f>
        <x:v>0</x:v>
      </x:c>
      <x:c r="V70" s="16">
        <x:f>IF(P70="외주비",F70+H70+J70,0)</x:f>
        <x:v>0</x:v>
      </x:c>
      <x:c r="W70" s="16">
        <x:f>IF(P70="장비비",F70+H70+J70,0)</x:f>
        <x:v>0</x:v>
      </x:c>
      <x:c r="X70" s="16">
        <x:f>IF(P70="폐기물처리비",L70,0)</x:f>
        <x:v>180</x:v>
      </x:c>
      <x:c r="Y70" s="16">
        <x:f>IF(P70="가설비",J70,0)</x:f>
        <x:v>0</x:v>
      </x:c>
      <x:c r="Z70" s="16">
        <x:f>IF(P70="잡비제외분",F70,0)</x:f>
        <x:v>0</x:v>
      </x:c>
      <x:c r="AA70" s="16">
        <x:f>IF(P70="사급자재대",L70,0)</x:f>
        <x:v>0</x:v>
      </x:c>
      <x:c r="AB70" s="16">
        <x:f>IF(P70="관급자재대",L70,0)</x:f>
        <x:v>0</x:v>
      </x:c>
      <x:c r="AC70" s="16">
        <x:f>IF(P70="사용자항목1",L70,0)</x:f>
        <x:v>0</x:v>
      </x:c>
      <x:c r="AD70" s="16">
        <x:f>IF(P70="사용자항목2",L70,0)</x:f>
        <x:v>0</x:v>
      </x:c>
      <x:c r="AE70" s="16">
        <x:f>IF(P70="사용자항목3",L70,0)</x:f>
        <x:v>0</x:v>
      </x:c>
      <x:c r="AF70" s="16">
        <x:f>IF(P70="사용자항목4",L70,0)</x:f>
        <x:v>0</x:v>
      </x:c>
      <x:c r="AG70" s="16">
        <x:f>IF(P70="사용자항목5",L70,0)</x:f>
        <x:v>0</x:v>
      </x:c>
      <x:c r="AH70" s="16">
        <x:f>IF(P70="사용자항목6",L70,0)</x:f>
        <x:v>0</x:v>
      </x:c>
      <x:c r="AI70" s="16">
        <x:f>IF(P70="사용자항목7",L70,0)</x:f>
        <x:v>0</x:v>
      </x:c>
      <x:c r="AJ70" s="16">
        <x:f>IF(P70="사용자항목8",L70,0)</x:f>
        <x:v>0</x:v>
      </x:c>
      <x:c r="AK70" s="16">
        <x:f>IF(P70="사용자항목9",L70,0)</x:f>
        <x:v>0</x:v>
      </x:c>
    </x:row>
    <x:row r="71" spans="1:37" ht="23.100000000000001" customHeight="1">
      <x:c r="A71" s="47" t="s">
        <x:v>14</x:v>
      </x:c>
      <x:c r="B71" s="47" t="s">
        <x:v>328</x:v>
      </x:c>
      <x:c r="C71" s="48" t="s">
        <x:v>215</x:v>
      </x:c>
      <x:c r="D71" s="49">
        <x:v>1.04</x:v>
      </x:c>
      <x:c r="E71" s="50"/>
      <x:c r="F71" s="50">
        <x:f>ROUNDDOWN(D71*E71,0)</x:f>
        <x:v>0</x:v>
      </x:c>
      <x:c r="G71" s="50"/>
      <x:c r="H71" s="50">
        <x:f>ROUNDDOWN(D71*G71,0)</x:f>
        <x:v>0</x:v>
      </x:c>
      <x:c r="I71" s="50">
        <x:f>자재단가대비표!N62</x:f>
        <x:v>27351</x:v>
      </x:c>
      <x:c r="J71" s="50">
        <x:f>ROUNDDOWN(D71*I71,0)</x:f>
        <x:v>28445</x:v>
      </x:c>
      <x:c r="K71" s="50">
        <x:f>E71+G71+I71</x:f>
        <x:v>27351</x:v>
      </x:c>
      <x:c r="L71" s="50">
        <x:f>F71+H71+J71</x:f>
        <x:v>28445</x:v>
      </x:c>
      <x:c r="M71" s="52"/>
      <x:c r="O71" s="20" t="s">
        <x:v>164</x:v>
      </x:c>
      <x:c r="P71" s="20" t="s">
        <x:v>412</x:v>
      </x:c>
      <x:c r="Q71" s="16">
        <x:v>1</x:v>
      </x:c>
      <x:c r="R71" s="16">
        <x:f>IF(P71="기계경비",J71,0)</x:f>
        <x:v>0</x:v>
      </x:c>
      <x:c r="S71" s="16">
        <x:f>IF(P71="운반비",J71,0)</x:f>
        <x:v>0</x:v>
      </x:c>
      <x:c r="T71" s="16">
        <x:f>IF(P71="작업부산물",F71,0)</x:f>
        <x:v>0</x:v>
      </x:c>
      <x:c r="U71" s="16">
        <x:f>IF(P71="관급",ROUNDDOWN(D71*E71,0),0)+IF(P71="지급",ROUNDDOWN(D71*E71,0),0)</x:f>
        <x:v>0</x:v>
      </x:c>
      <x:c r="V71" s="16">
        <x:f>IF(P71="외주비",F71+H71+J71,0)</x:f>
        <x:v>0</x:v>
      </x:c>
      <x:c r="W71" s="16">
        <x:f>IF(P71="장비비",F71+H71+J71,0)</x:f>
        <x:v>0</x:v>
      </x:c>
      <x:c r="X71" s="16">
        <x:f>IF(P71="폐기물처리비",L71,0)</x:f>
        <x:v>28445</x:v>
      </x:c>
      <x:c r="Y71" s="16">
        <x:f>IF(P71="가설비",J71,0)</x:f>
        <x:v>0</x:v>
      </x:c>
      <x:c r="Z71" s="16">
        <x:f>IF(P71="잡비제외분",F71,0)</x:f>
        <x:v>0</x:v>
      </x:c>
      <x:c r="AA71" s="16">
        <x:f>IF(P71="사급자재대",L71,0)</x:f>
        <x:v>0</x:v>
      </x:c>
      <x:c r="AB71" s="16">
        <x:f>IF(P71="관급자재대",L71,0)</x:f>
        <x:v>0</x:v>
      </x:c>
      <x:c r="AC71" s="16">
        <x:f>IF(P71="사용자항목1",L71,0)</x:f>
        <x:v>0</x:v>
      </x:c>
      <x:c r="AD71" s="16">
        <x:f>IF(P71="사용자항목2",L71,0)</x:f>
        <x:v>0</x:v>
      </x:c>
      <x:c r="AE71" s="16">
        <x:f>IF(P71="사용자항목3",L71,0)</x:f>
        <x:v>0</x:v>
      </x:c>
      <x:c r="AF71" s="16">
        <x:f>IF(P71="사용자항목4",L71,0)</x:f>
        <x:v>0</x:v>
      </x:c>
      <x:c r="AG71" s="16">
        <x:f>IF(P71="사용자항목5",L71,0)</x:f>
        <x:v>0</x:v>
      </x:c>
      <x:c r="AH71" s="16">
        <x:f>IF(P71="사용자항목6",L71,0)</x:f>
        <x:v>0</x:v>
      </x:c>
      <x:c r="AI71" s="16">
        <x:f>IF(P71="사용자항목7",L71,0)</x:f>
        <x:v>0</x:v>
      </x:c>
      <x:c r="AJ71" s="16">
        <x:f>IF(P71="사용자항목8",L71,0)</x:f>
        <x:v>0</x:v>
      </x:c>
      <x:c r="AK71" s="16">
        <x:f>IF(P71="사용자항목9",L71,0)</x:f>
        <x:v>0</x:v>
      </x:c>
    </x:row>
    <x:row r="72" spans="1:37" ht="23.100000000000001" customHeight="1">
      <x:c r="A72" s="47" t="s">
        <x:v>535</x:v>
      </x:c>
      <x:c r="B72" s="47" t="s">
        <x:v>528</x:v>
      </x:c>
      <x:c r="C72" s="48" t="s">
        <x:v>169</x:v>
      </x:c>
      <x:c r="D72" s="49">
        <x:v>1.05</x:v>
      </x:c>
      <x:c r="E72" s="50"/>
      <x:c r="F72" s="50">
        <x:f>ROUNDDOWN(D72*E72,0)</x:f>
        <x:v>0</x:v>
      </x:c>
      <x:c r="G72" s="50"/>
      <x:c r="H72" s="50">
        <x:f>ROUNDDOWN(D72*G72,0)</x:f>
        <x:v>0</x:v>
      </x:c>
      <x:c r="I72" s="50">
        <x:f>자재단가대비표!N54</x:f>
        <x:v>1820</x:v>
      </x:c>
      <x:c r="J72" s="50">
        <x:f>ROUNDDOWN(D72*I72,0)</x:f>
        <x:v>1911</x:v>
      </x:c>
      <x:c r="K72" s="50">
        <x:f>E72+G72+I72</x:f>
        <x:v>1820</x:v>
      </x:c>
      <x:c r="L72" s="50">
        <x:f>F72+H72+J72</x:f>
        <x:v>1911</x:v>
      </x:c>
      <x:c r="M72" s="52"/>
      <x:c r="O72" s="20" t="s">
        <x:v>164</x:v>
      </x:c>
      <x:c r="P72" s="20" t="s">
        <x:v>412</x:v>
      </x:c>
      <x:c r="Q72" s="16">
        <x:v>1</x:v>
      </x:c>
      <x:c r="R72" s="16">
        <x:f>IF(P72="기계경비",J72,0)</x:f>
        <x:v>0</x:v>
      </x:c>
      <x:c r="S72" s="16">
        <x:f>IF(P72="운반비",J72,0)</x:f>
        <x:v>0</x:v>
      </x:c>
      <x:c r="T72" s="16">
        <x:f>IF(P72="작업부산물",F72,0)</x:f>
        <x:v>0</x:v>
      </x:c>
      <x:c r="U72" s="16">
        <x:f>IF(P72="관급",ROUNDDOWN(D72*E72,0),0)+IF(P72="지급",ROUNDDOWN(D72*E72,0),0)</x:f>
        <x:v>0</x:v>
      </x:c>
      <x:c r="V72" s="16">
        <x:f>IF(P72="외주비",F72+H72+J72,0)</x:f>
        <x:v>0</x:v>
      </x:c>
      <x:c r="W72" s="16">
        <x:f>IF(P72="장비비",F72+H72+J72,0)</x:f>
        <x:v>0</x:v>
      </x:c>
      <x:c r="X72" s="16">
        <x:f>IF(P72="폐기물처리비",L72,0)</x:f>
        <x:v>1911</x:v>
      </x:c>
      <x:c r="Y72" s="16">
        <x:f>IF(P72="가설비",J72,0)</x:f>
        <x:v>0</x:v>
      </x:c>
      <x:c r="Z72" s="16">
        <x:f>IF(P72="잡비제외분",F72,0)</x:f>
        <x:v>0</x:v>
      </x:c>
      <x:c r="AA72" s="16">
        <x:f>IF(P72="사급자재대",L72,0)</x:f>
        <x:v>0</x:v>
      </x:c>
      <x:c r="AB72" s="16">
        <x:f>IF(P72="관급자재대",L72,0)</x:f>
        <x:v>0</x:v>
      </x:c>
      <x:c r="AC72" s="16">
        <x:f>IF(P72="사용자항목1",L72,0)</x:f>
        <x:v>0</x:v>
      </x:c>
      <x:c r="AD72" s="16">
        <x:f>IF(P72="사용자항목2",L72,0)</x:f>
        <x:v>0</x:v>
      </x:c>
      <x:c r="AE72" s="16">
        <x:f>IF(P72="사용자항목3",L72,0)</x:f>
        <x:v>0</x:v>
      </x:c>
      <x:c r="AF72" s="16">
        <x:f>IF(P72="사용자항목4",L72,0)</x:f>
        <x:v>0</x:v>
      </x:c>
      <x:c r="AG72" s="16">
        <x:f>IF(P72="사용자항목5",L72,0)</x:f>
        <x:v>0</x:v>
      </x:c>
      <x:c r="AH72" s="16">
        <x:f>IF(P72="사용자항목6",L72,0)</x:f>
        <x:v>0</x:v>
      </x:c>
      <x:c r="AI72" s="16">
        <x:f>IF(P72="사용자항목7",L72,0)</x:f>
        <x:v>0</x:v>
      </x:c>
      <x:c r="AJ72" s="16">
        <x:f>IF(P72="사용자항목8",L72,0)</x:f>
        <x:v>0</x:v>
      </x:c>
      <x:c r="AK72" s="16">
        <x:f>IF(P72="사용자항목9",L72,0)</x:f>
        <x:v>0</x:v>
      </x:c>
    </x:row>
    <x:row r="73" spans="1:37" ht="23.100000000000001" customHeight="1">
      <x:c r="A73" s="47" t="s">
        <x:v>529</x:v>
      </x:c>
      <x:c r="B73" s="47" t="s">
        <x:v>244</x:v>
      </x:c>
      <x:c r="C73" s="48" t="s">
        <x:v>169</x:v>
      </x:c>
      <x:c r="D73" s="49">
        <x:v>1.05</x:v>
      </x:c>
      <x:c r="E73" s="50"/>
      <x:c r="F73" s="50">
        <x:f>ROUNDDOWN(D73*E73,0)</x:f>
        <x:v>0</x:v>
      </x:c>
      <x:c r="G73" s="50"/>
      <x:c r="H73" s="50">
        <x:f>ROUNDDOWN(D73*G73,0)</x:f>
        <x:v>0</x:v>
      </x:c>
      <x:c r="I73" s="50">
        <x:f>자재단가대비표!N55</x:f>
        <x:v>11840</x:v>
      </x:c>
      <x:c r="J73" s="50">
        <x:f>ROUNDDOWN(D73*I73,0)</x:f>
        <x:v>12432</x:v>
      </x:c>
      <x:c r="K73" s="50">
        <x:f>E73+G73+I73</x:f>
        <x:v>11840</x:v>
      </x:c>
      <x:c r="L73" s="50">
        <x:f>F73+H73+J73</x:f>
        <x:v>12432</x:v>
      </x:c>
      <x:c r="M73" s="52"/>
      <x:c r="O73" s="20" t="s">
        <x:v>164</x:v>
      </x:c>
      <x:c r="P73" s="20" t="s">
        <x:v>412</x:v>
      </x:c>
      <x:c r="Q73" s="16">
        <x:v>1</x:v>
      </x:c>
      <x:c r="R73" s="16">
        <x:f>IF(P73="기계경비",J73,0)</x:f>
        <x:v>0</x:v>
      </x:c>
      <x:c r="S73" s="16">
        <x:f>IF(P73="운반비",J73,0)</x:f>
        <x:v>0</x:v>
      </x:c>
      <x:c r="T73" s="16">
        <x:f>IF(P73="작업부산물",F73,0)</x:f>
        <x:v>0</x:v>
      </x:c>
      <x:c r="U73" s="16">
        <x:f>IF(P73="관급",ROUNDDOWN(D73*E73,0),0)+IF(P73="지급",ROUNDDOWN(D73*E73,0),0)</x:f>
        <x:v>0</x:v>
      </x:c>
      <x:c r="V73" s="16">
        <x:f>IF(P73="외주비",F73+H73+J73,0)</x:f>
        <x:v>0</x:v>
      </x:c>
      <x:c r="W73" s="16">
        <x:f>IF(P73="장비비",F73+H73+J73,0)</x:f>
        <x:v>0</x:v>
      </x:c>
      <x:c r="X73" s="16">
        <x:f>IF(P73="폐기물처리비",L73,0)</x:f>
        <x:v>12432</x:v>
      </x:c>
      <x:c r="Y73" s="16">
        <x:f>IF(P73="가설비",J73,0)</x:f>
        <x:v>0</x:v>
      </x:c>
      <x:c r="Z73" s="16">
        <x:f>IF(P73="잡비제외분",F73,0)</x:f>
        <x:v>0</x:v>
      </x:c>
      <x:c r="AA73" s="16">
        <x:f>IF(P73="사급자재대",L73,0)</x:f>
        <x:v>0</x:v>
      </x:c>
      <x:c r="AB73" s="16">
        <x:f>IF(P73="관급자재대",L73,0)</x:f>
        <x:v>0</x:v>
      </x:c>
      <x:c r="AC73" s="16">
        <x:f>IF(P73="사용자항목1",L73,0)</x:f>
        <x:v>0</x:v>
      </x:c>
      <x:c r="AD73" s="16">
        <x:f>IF(P73="사용자항목2",L73,0)</x:f>
        <x:v>0</x:v>
      </x:c>
      <x:c r="AE73" s="16">
        <x:f>IF(P73="사용자항목3",L73,0)</x:f>
        <x:v>0</x:v>
      </x:c>
      <x:c r="AF73" s="16">
        <x:f>IF(P73="사용자항목4",L73,0)</x:f>
        <x:v>0</x:v>
      </x:c>
      <x:c r="AG73" s="16">
        <x:f>IF(P73="사용자항목5",L73,0)</x:f>
        <x:v>0</x:v>
      </x:c>
      <x:c r="AH73" s="16">
        <x:f>IF(P73="사용자항목6",L73,0)</x:f>
        <x:v>0</x:v>
      </x:c>
      <x:c r="AI73" s="16">
        <x:f>IF(P73="사용자항목7",L73,0)</x:f>
        <x:v>0</x:v>
      </x:c>
      <x:c r="AJ73" s="16">
        <x:f>IF(P73="사용자항목8",L73,0)</x:f>
        <x:v>0</x:v>
      </x:c>
      <x:c r="AK73" s="16">
        <x:f>IF(P73="사용자항목9",L73,0)</x:f>
        <x:v>0</x:v>
      </x:c>
    </x:row>
    <x:row r="74" spans="1:13" ht="23.100000000000001" customHeight="1">
      <x:c r="A74" s="47"/>
      <x:c r="B74" s="47"/>
      <x:c r="C74" s="48"/>
      <x:c r="D74" s="52"/>
      <x:c r="E74" s="52"/>
      <x:c r="F74" s="52"/>
      <x:c r="G74" s="52"/>
      <x:c r="H74" s="52"/>
      <x:c r="I74" s="52"/>
      <x:c r="J74" s="52"/>
      <x:c r="K74" s="52"/>
      <x:c r="L74" s="52"/>
      <x:c r="M74" s="52"/>
    </x:row>
    <x:row r="75" spans="1:13" ht="23.100000000000001" customHeight="1">
      <x:c r="A75" s="47"/>
      <x:c r="B75" s="47"/>
      <x:c r="C75" s="48"/>
      <x:c r="D75" s="52"/>
      <x:c r="E75" s="52"/>
      <x:c r="F75" s="52"/>
      <x:c r="G75" s="52"/>
      <x:c r="H75" s="52"/>
      <x:c r="I75" s="52"/>
      <x:c r="J75" s="52"/>
      <x:c r="K75" s="52"/>
      <x:c r="L75" s="52"/>
      <x:c r="M75" s="52"/>
    </x:row>
    <x:row r="76" spans="1:13" ht="23.100000000000001" customHeight="1">
      <x:c r="A76" s="47"/>
      <x:c r="B76" s="47"/>
      <x:c r="C76" s="48"/>
      <x:c r="D76" s="52"/>
      <x:c r="E76" s="52"/>
      <x:c r="F76" s="52"/>
      <x:c r="G76" s="52"/>
      <x:c r="H76" s="52"/>
      <x:c r="I76" s="52"/>
      <x:c r="J76" s="52"/>
      <x:c r="K76" s="52"/>
      <x:c r="L76" s="52"/>
      <x:c r="M76" s="52"/>
    </x:row>
    <x:row r="77" spans="1:13" ht="23.100000000000001" customHeight="1">
      <x:c r="A77" s="47"/>
      <x:c r="B77" s="47"/>
      <x:c r="C77" s="48"/>
      <x:c r="D77" s="52"/>
      <x:c r="E77" s="52"/>
      <x:c r="F77" s="52"/>
      <x:c r="G77" s="52"/>
      <x:c r="H77" s="52"/>
      <x:c r="I77" s="52"/>
      <x:c r="J77" s="52"/>
      <x:c r="K77" s="52"/>
      <x:c r="L77" s="52"/>
      <x:c r="M77" s="52"/>
    </x:row>
    <x:row r="78" spans="1:13" ht="23.100000000000001" customHeight="1">
      <x:c r="A78" s="47"/>
      <x:c r="B78" s="47"/>
      <x:c r="C78" s="48"/>
      <x:c r="D78" s="52"/>
      <x:c r="E78" s="52"/>
      <x:c r="F78" s="52"/>
      <x:c r="G78" s="52"/>
      <x:c r="H78" s="52"/>
      <x:c r="I78" s="52"/>
      <x:c r="J78" s="52"/>
      <x:c r="K78" s="52"/>
      <x:c r="L78" s="52"/>
      <x:c r="M78" s="52"/>
    </x:row>
    <x:row r="79" spans="1:13" ht="23.100000000000001" customHeight="1">
      <x:c r="A79" s="47"/>
      <x:c r="B79" s="47"/>
      <x:c r="C79" s="48"/>
      <x:c r="D79" s="52"/>
      <x:c r="E79" s="52"/>
      <x:c r="F79" s="52"/>
      <x:c r="G79" s="52"/>
      <x:c r="H79" s="52"/>
      <x:c r="I79" s="52"/>
      <x:c r="J79" s="52"/>
      <x:c r="K79" s="52"/>
      <x:c r="L79" s="52"/>
      <x:c r="M79" s="52"/>
    </x:row>
    <x:row r="80" spans="1:13" ht="23.100000000000001" customHeight="1">
      <x:c r="A80" s="47"/>
      <x:c r="B80" s="47"/>
      <x:c r="C80" s="48"/>
      <x:c r="D80" s="52"/>
      <x:c r="E80" s="52"/>
      <x:c r="F80" s="52"/>
      <x:c r="G80" s="52"/>
      <x:c r="H80" s="52"/>
      <x:c r="I80" s="52"/>
      <x:c r="J80" s="52"/>
      <x:c r="K80" s="52"/>
      <x:c r="L80" s="52"/>
      <x:c r="M80" s="52"/>
    </x:row>
    <x:row r="81" spans="1:13" ht="23.100000000000001" customHeight="1">
      <x:c r="A81" s="47"/>
      <x:c r="B81" s="47"/>
      <x:c r="C81" s="48"/>
      <x:c r="D81" s="52"/>
      <x:c r="E81" s="52"/>
      <x:c r="F81" s="52"/>
      <x:c r="G81" s="52"/>
      <x:c r="H81" s="52"/>
      <x:c r="I81" s="52"/>
      <x:c r="J81" s="52"/>
      <x:c r="K81" s="52"/>
      <x:c r="L81" s="52"/>
      <x:c r="M81" s="52"/>
    </x:row>
    <x:row r="82" spans="1:13" ht="23.100000000000001" customHeight="1">
      <x:c r="A82" s="47"/>
      <x:c r="B82" s="47"/>
      <x:c r="C82" s="48"/>
      <x:c r="D82" s="52"/>
      <x:c r="E82" s="52"/>
      <x:c r="F82" s="52"/>
      <x:c r="G82" s="52"/>
      <x:c r="H82" s="52"/>
      <x:c r="I82" s="52"/>
      <x:c r="J82" s="52"/>
      <x:c r="K82" s="52"/>
      <x:c r="L82" s="52"/>
      <x:c r="M82" s="52"/>
    </x:row>
    <x:row r="83" spans="1:13" ht="23.100000000000001" customHeight="1">
      <x:c r="A83" s="47"/>
      <x:c r="B83" s="47"/>
      <x:c r="C83" s="48"/>
      <x:c r="D83" s="52"/>
      <x:c r="E83" s="52"/>
      <x:c r="F83" s="52"/>
      <x:c r="G83" s="52"/>
      <x:c r="H83" s="52"/>
      <x:c r="I83" s="52"/>
      <x:c r="J83" s="52"/>
      <x:c r="K83" s="52"/>
      <x:c r="L83" s="52"/>
      <x:c r="M83" s="52"/>
    </x:row>
    <x:row r="84" spans="1:38" ht="23.100000000000001" customHeight="1">
      <x:c r="A84" s="53" t="s">
        <x:v>344</x:v>
      </x:c>
      <x:c r="B84" s="47"/>
      <x:c r="C84" s="48"/>
      <x:c r="D84" s="52"/>
      <x:c r="E84" s="50"/>
      <x:c r="F84" s="50">
        <x:f>SUMIF($Q$69:$Q$83,1,$F$69:$F$83)</x:f>
        <x:v>0</x:v>
      </x:c>
      <x:c r="G84" s="50"/>
      <x:c r="H84" s="50">
        <x:f>SUMIF($Q$69:$Q$83,1,$H$69:$H$83)</x:f>
        <x:v>0</x:v>
      </x:c>
      <x:c r="I84" s="50"/>
      <x:c r="J84" s="50">
        <x:f>SUMIF($Q$69:$Q$83,1,$J$69:$J$83)</x:f>
        <x:v>42968</x:v>
      </x:c>
      <x:c r="K84" s="50"/>
      <x:c r="L84" s="50">
        <x:f>F84+H84+J84</x:f>
        <x:v>42968</x:v>
      </x:c>
      <x:c r="M84" s="52"/>
      <x:c r="R84" s="16">
        <x:f>SUM($R$69:$R$83)</x:f>
        <x:v>0</x:v>
      </x:c>
      <x:c r="S84" s="16">
        <x:f>SUM($S$69:$S$83)</x:f>
        <x:v>0</x:v>
      </x:c>
      <x:c r="T84" s="16">
        <x:f>SUM($T$69:$T$83)</x:f>
        <x:v>0</x:v>
      </x:c>
      <x:c r="U84" s="16">
        <x:f>SUM($U$69:$U$83)</x:f>
        <x:v>0</x:v>
      </x:c>
      <x:c r="V84" s="16">
        <x:f>SUM($V$69:$V$83)</x:f>
        <x:v>0</x:v>
      </x:c>
      <x:c r="W84" s="16">
        <x:f>SUM($W$69:$W$83)</x:f>
        <x:v>0</x:v>
      </x:c>
      <x:c r="X84" s="16">
        <x:f>SUM($X$69:$X$83)</x:f>
        <x:v>42968</x:v>
      </x:c>
      <x:c r="Y84" s="16">
        <x:f>SUM($Y$69:$Y$83)</x:f>
        <x:v>0</x:v>
      </x:c>
      <x:c r="Z84" s="16">
        <x:f>SUM($Z$69:$Z$83)</x:f>
        <x:v>0</x:v>
      </x:c>
      <x:c r="AA84" s="16">
        <x:f>SUM($AA$69:$AA$83)</x:f>
        <x:v>0</x:v>
      </x:c>
      <x:c r="AB84" s="16">
        <x:f>SUM($AB$69:$AB$83)</x:f>
        <x:v>0</x:v>
      </x:c>
      <x:c r="AC84" s="16">
        <x:f>SUM($AC$69:$AC$83)</x:f>
        <x:v>0</x:v>
      </x:c>
      <x:c r="AD84" s="16">
        <x:f>SUM($AD$69:$AD$83)</x:f>
        <x:v>0</x:v>
      </x:c>
      <x:c r="AE84" s="16">
        <x:f>SUM($AE$69:$AE$83)</x:f>
        <x:v>0</x:v>
      </x:c>
      <x:c r="AF84" s="16">
        <x:f>SUM($AF$69:$AF$83)</x:f>
        <x:v>0</x:v>
      </x:c>
      <x:c r="AG84" s="16">
        <x:f>SUM($AG$69:$AG$83)</x:f>
        <x:v>0</x:v>
      </x:c>
      <x:c r="AH84" s="16">
        <x:f>SUM($AH$69:$AH$83)</x:f>
        <x:v>0</x:v>
      </x:c>
      <x:c r="AI84" s="16">
        <x:f>SUM($AI$69:$AI$83)</x:f>
        <x:v>0</x:v>
      </x:c>
      <x:c r="AJ84" s="16">
        <x:f>SUM($AJ$69:$AJ$83)</x:f>
        <x:v>0</x:v>
      </x:c>
      <x:c r="AK84" s="16">
        <x:f>SUM($AK$69:$AK$83)</x:f>
        <x:v>0</x:v>
      </x:c>
      <x:c r="AL84" s="16">
        <x:f>SUM($AL$69:$AL$83)</x:f>
        <x:v>0</x:v>
      </x:c>
    </x:row>
    <x:row r="85" spans="1:13" ht="23.100000000000001" customHeight="1">
      <x:c r="A85" s="114" t="s">
        <x:v>426</x:v>
      </x:c>
      <x:c r="B85" s="114"/>
      <x:c r="C85" s="114"/>
      <x:c r="D85" s="114"/>
      <x:c r="E85" s="114"/>
      <x:c r="F85" s="114"/>
      <x:c r="G85" s="114"/>
      <x:c r="H85" s="114"/>
      <x:c r="I85" s="114"/>
      <x:c r="J85" s="114"/>
      <x:c r="K85" s="114"/>
      <x:c r="L85" s="114"/>
      <x:c r="M85" s="114"/>
    </x:row>
    <x:row r="86" spans="1:37" ht="23.100000000000001" customHeight="1">
      <x:c r="A86" s="47" t="s">
        <x:v>217</x:v>
      </x:c>
      <x:c r="B86" s="47" t="s">
        <x:v>39</x:v>
      </x:c>
      <x:c r="C86" s="48" t="s">
        <x:v>215</x:v>
      </x:c>
      <x:c r="D86" s="49">
        <x:v>0.059999999999999998</x:v>
      </x:c>
      <x:c r="E86" s="50">
        <x:f>자재단가대비표!N8</x:f>
        <x:v>-240000</x:v>
      </x:c>
      <x:c r="F86" s="50">
        <x:f>ROUNDDOWN(D86*E86,0)</x:f>
        <x:v>-14400</x:v>
      </x:c>
      <x:c r="G86" s="50"/>
      <x:c r="H86" s="50">
        <x:f>ROUNDDOWN(D86*G86,0)</x:f>
        <x:v>0</x:v>
      </x:c>
      <x:c r="I86" s="50"/>
      <x:c r="J86" s="50">
        <x:f>ROUNDDOWN(D86*I86,0)</x:f>
        <x:v>0</x:v>
      </x:c>
      <x:c r="K86" s="50">
        <x:f>E86+G86+I86</x:f>
        <x:v>-240000</x:v>
      </x:c>
      <x:c r="L86" s="50">
        <x:f>F86+H86+J86</x:f>
        <x:v>-14400</x:v>
      </x:c>
      <x:c r="M86" s="52"/>
      <x:c r="O86" s="20" t="s">
        <x:v>159</x:v>
      </x:c>
      <x:c r="P86" s="20" t="s">
        <x:v>410</x:v>
      </x:c>
      <x:c r="Q86" s="16">
        <x:v>1</x:v>
      </x:c>
      <x:c r="R86" s="16">
        <x:f>IF(P86="기계경비",J86,0)</x:f>
        <x:v>0</x:v>
      </x:c>
      <x:c r="S86" s="16">
        <x:f>IF(P86="운반비",J86,0)</x:f>
        <x:v>0</x:v>
      </x:c>
      <x:c r="T86" s="16">
        <x:f>IF(P86="작업부산물",F86,0)</x:f>
        <x:v>-14400</x:v>
      </x:c>
      <x:c r="U86" s="16">
        <x:f>IF(P86="관급",ROUNDDOWN(D86*E86,0),0)+IF(P86="지급",ROUNDDOWN(D86*E86,0),0)</x:f>
        <x:v>0</x:v>
      </x:c>
      <x:c r="V86" s="16">
        <x:f>IF(P86="외주비",F86+H86+J86,0)</x:f>
        <x:v>0</x:v>
      </x:c>
      <x:c r="W86" s="16">
        <x:f>IF(P86="장비비",F86+H86+J86,0)</x:f>
        <x:v>0</x:v>
      </x:c>
      <x:c r="X86" s="16">
        <x:f>IF(P86="폐기물처리비",J86,0)</x:f>
        <x:v>0</x:v>
      </x:c>
      <x:c r="Y86" s="16">
        <x:f>IF(P86="가설비",J86,0)</x:f>
        <x:v>0</x:v>
      </x:c>
      <x:c r="Z86" s="16">
        <x:f>IF(P86="잡비제외분",F86,0)</x:f>
        <x:v>0</x:v>
      </x:c>
      <x:c r="AA86" s="16">
        <x:f>IF(P86="사급자재대",L86,0)</x:f>
        <x:v>0</x:v>
      </x:c>
      <x:c r="AB86" s="16">
        <x:f>IF(P86="관급자재대",L86,0)</x:f>
        <x:v>0</x:v>
      </x:c>
      <x:c r="AC86" s="16">
        <x:f>IF(P86="사용자항목1",L86,0)</x:f>
        <x:v>0</x:v>
      </x:c>
      <x:c r="AD86" s="16">
        <x:f>IF(P86="사용자항목2",L86,0)</x:f>
        <x:v>0</x:v>
      </x:c>
      <x:c r="AE86" s="16">
        <x:f>IF(P86="사용자항목3",L86,0)</x:f>
        <x:v>0</x:v>
      </x:c>
      <x:c r="AF86" s="16">
        <x:f>IF(P86="사용자항목4",L86,0)</x:f>
        <x:v>0</x:v>
      </x:c>
      <x:c r="AG86" s="16">
        <x:f>IF(P86="사용자항목5",L86,0)</x:f>
        <x:v>0</x:v>
      </x:c>
      <x:c r="AH86" s="16">
        <x:f>IF(P86="사용자항목6",L86,0)</x:f>
        <x:v>0</x:v>
      </x:c>
      <x:c r="AI86" s="16">
        <x:f>IF(P86="사용자항목7",L86,0)</x:f>
        <x:v>0</x:v>
      </x:c>
      <x:c r="AJ86" s="16">
        <x:f>IF(P86="사용자항목8",L86,0)</x:f>
        <x:v>0</x:v>
      </x:c>
      <x:c r="AK86" s="16">
        <x:f>IF(P86="사용자항목9",L86,0)</x:f>
        <x:v>0</x:v>
      </x:c>
    </x:row>
    <x:row r="87" spans="1:13" ht="23.100000000000001" customHeight="1">
      <x:c r="A87" s="47"/>
      <x:c r="B87" s="47"/>
      <x:c r="C87" s="48"/>
      <x:c r="D87" s="52"/>
      <x:c r="E87" s="52"/>
      <x:c r="F87" s="52"/>
      <x:c r="G87" s="52"/>
      <x:c r="H87" s="52"/>
      <x:c r="I87" s="52"/>
      <x:c r="J87" s="52"/>
      <x:c r="K87" s="52"/>
      <x:c r="L87" s="52"/>
      <x:c r="M87" s="52"/>
    </x:row>
    <x:row r="88" spans="1:13" ht="23.100000000000001" customHeight="1">
      <x:c r="A88" s="47"/>
      <x:c r="B88" s="47"/>
      <x:c r="C88" s="48"/>
      <x:c r="D88" s="52"/>
      <x:c r="E88" s="52"/>
      <x:c r="F88" s="52"/>
      <x:c r="G88" s="52"/>
      <x:c r="H88" s="52"/>
      <x:c r="I88" s="52"/>
      <x:c r="J88" s="52"/>
      <x:c r="K88" s="52"/>
      <x:c r="L88" s="52"/>
      <x:c r="M88" s="52"/>
    </x:row>
    <x:row r="89" spans="1:13" ht="23.100000000000001" customHeight="1">
      <x:c r="A89" s="47"/>
      <x:c r="B89" s="47"/>
      <x:c r="C89" s="48"/>
      <x:c r="D89" s="52"/>
      <x:c r="E89" s="52"/>
      <x:c r="F89" s="52"/>
      <x:c r="G89" s="52"/>
      <x:c r="H89" s="52"/>
      <x:c r="I89" s="52"/>
      <x:c r="J89" s="52"/>
      <x:c r="K89" s="52"/>
      <x:c r="L89" s="52"/>
      <x:c r="M89" s="52"/>
    </x:row>
    <x:row r="90" spans="1:13" ht="23.100000000000001" customHeight="1">
      <x:c r="A90" s="47"/>
      <x:c r="B90" s="47"/>
      <x:c r="C90" s="48"/>
      <x:c r="D90" s="52"/>
      <x:c r="E90" s="52"/>
      <x:c r="F90" s="52"/>
      <x:c r="G90" s="52"/>
      <x:c r="H90" s="52"/>
      <x:c r="I90" s="52"/>
      <x:c r="J90" s="52"/>
      <x:c r="K90" s="52"/>
      <x:c r="L90" s="52"/>
      <x:c r="M90" s="52"/>
    </x:row>
    <x:row r="91" spans="1:13" ht="23.100000000000001" customHeight="1">
      <x:c r="A91" s="47"/>
      <x:c r="B91" s="47"/>
      <x:c r="C91" s="48"/>
      <x:c r="D91" s="52"/>
      <x:c r="E91" s="52"/>
      <x:c r="F91" s="52"/>
      <x:c r="G91" s="52"/>
      <x:c r="H91" s="52"/>
      <x:c r="I91" s="52"/>
      <x:c r="J91" s="52"/>
      <x:c r="K91" s="52"/>
      <x:c r="L91" s="52"/>
      <x:c r="M91" s="52"/>
    </x:row>
    <x:row r="92" spans="1:13" ht="23.100000000000001" customHeight="1">
      <x:c r="A92" s="47"/>
      <x:c r="B92" s="47"/>
      <x:c r="C92" s="48"/>
      <x:c r="D92" s="52"/>
      <x:c r="E92" s="52"/>
      <x:c r="F92" s="52"/>
      <x:c r="G92" s="52"/>
      <x:c r="H92" s="52"/>
      <x:c r="I92" s="52"/>
      <x:c r="J92" s="52"/>
      <x:c r="K92" s="52"/>
      <x:c r="L92" s="52"/>
      <x:c r="M92" s="52"/>
    </x:row>
    <x:row r="93" spans="1:13" ht="23.100000000000001" customHeight="1">
      <x:c r="A93" s="47"/>
      <x:c r="B93" s="47"/>
      <x:c r="C93" s="48"/>
      <x:c r="D93" s="52"/>
      <x:c r="E93" s="52"/>
      <x:c r="F93" s="52"/>
      <x:c r="G93" s="52"/>
      <x:c r="H93" s="52"/>
      <x:c r="I93" s="52"/>
      <x:c r="J93" s="52"/>
      <x:c r="K93" s="52"/>
      <x:c r="L93" s="52"/>
      <x:c r="M93" s="52"/>
    </x:row>
    <x:row r="94" spans="1:13" ht="23.100000000000001" customHeight="1">
      <x:c r="A94" s="47"/>
      <x:c r="B94" s="47"/>
      <x:c r="C94" s="48"/>
      <x:c r="D94" s="52"/>
      <x:c r="E94" s="52"/>
      <x:c r="F94" s="52"/>
      <x:c r="G94" s="52"/>
      <x:c r="H94" s="52"/>
      <x:c r="I94" s="52"/>
      <x:c r="J94" s="52"/>
      <x:c r="K94" s="52"/>
      <x:c r="L94" s="52"/>
      <x:c r="M94" s="52"/>
    </x:row>
    <x:row r="95" spans="1:13" ht="23.100000000000001" customHeight="1">
      <x:c r="A95" s="47"/>
      <x:c r="B95" s="47"/>
      <x:c r="C95" s="48"/>
      <x:c r="D95" s="52"/>
      <x:c r="E95" s="52"/>
      <x:c r="F95" s="52"/>
      <x:c r="G95" s="52"/>
      <x:c r="H95" s="52"/>
      <x:c r="I95" s="52"/>
      <x:c r="J95" s="52"/>
      <x:c r="K95" s="52"/>
      <x:c r="L95" s="52"/>
      <x:c r="M95" s="52"/>
    </x:row>
    <x:row r="96" spans="1:13" ht="23.100000000000001" customHeight="1">
      <x:c r="A96" s="47"/>
      <x:c r="B96" s="47"/>
      <x:c r="C96" s="48"/>
      <x:c r="D96" s="52"/>
      <x:c r="E96" s="52"/>
      <x:c r="F96" s="52"/>
      <x:c r="G96" s="52"/>
      <x:c r="H96" s="52"/>
      <x:c r="I96" s="52"/>
      <x:c r="J96" s="52"/>
      <x:c r="K96" s="52"/>
      <x:c r="L96" s="52"/>
      <x:c r="M96" s="52"/>
    </x:row>
    <x:row r="97" spans="1:13" ht="23.100000000000001" customHeight="1">
      <x:c r="A97" s="47"/>
      <x:c r="B97" s="47"/>
      <x:c r="C97" s="48"/>
      <x:c r="D97" s="52"/>
      <x:c r="E97" s="52"/>
      <x:c r="F97" s="52"/>
      <x:c r="G97" s="52"/>
      <x:c r="H97" s="52"/>
      <x:c r="I97" s="52"/>
      <x:c r="J97" s="52"/>
      <x:c r="K97" s="52"/>
      <x:c r="L97" s="52"/>
      <x:c r="M97" s="52"/>
    </x:row>
    <x:row r="98" spans="1:13" ht="23.100000000000001" customHeight="1">
      <x:c r="A98" s="47"/>
      <x:c r="B98" s="47"/>
      <x:c r="C98" s="48"/>
      <x:c r="D98" s="52"/>
      <x:c r="E98" s="52"/>
      <x:c r="F98" s="52"/>
      <x:c r="G98" s="52"/>
      <x:c r="H98" s="52"/>
      <x:c r="I98" s="52"/>
      <x:c r="J98" s="52"/>
      <x:c r="K98" s="52"/>
      <x:c r="L98" s="52"/>
      <x:c r="M98" s="52"/>
    </x:row>
    <x:row r="99" spans="1:13" ht="23.100000000000001" customHeight="1">
      <x:c r="A99" s="47"/>
      <x:c r="B99" s="47"/>
      <x:c r="C99" s="48"/>
      <x:c r="D99" s="52"/>
      <x:c r="E99" s="52"/>
      <x:c r="F99" s="52"/>
      <x:c r="G99" s="52"/>
      <x:c r="H99" s="52"/>
      <x:c r="I99" s="52"/>
      <x:c r="J99" s="52"/>
      <x:c r="K99" s="52"/>
      <x:c r="L99" s="52"/>
      <x:c r="M99" s="52"/>
    </x:row>
    <x:row r="100" spans="1:38" ht="23.100000000000001" customHeight="1">
      <x:c r="A100" s="53" t="s">
        <x:v>344</x:v>
      </x:c>
      <x:c r="B100" s="47"/>
      <x:c r="C100" s="48"/>
      <x:c r="D100" s="52"/>
      <x:c r="E100" s="50"/>
      <x:c r="F100" s="50">
        <x:f>SUMIF($Q$85:$Q$99,1,$F$85:$F$99)</x:f>
        <x:v>-14400</x:v>
      </x:c>
      <x:c r="G100" s="50"/>
      <x:c r="H100" s="50">
        <x:f>SUMIF($Q$85:$Q$99,1,$H$85:$H$99)</x:f>
        <x:v>0</x:v>
      </x:c>
      <x:c r="I100" s="50"/>
      <x:c r="J100" s="50">
        <x:f>SUMIF($Q$85:$Q$99,1,$J$85:$J$99)</x:f>
        <x:v>0</x:v>
      </x:c>
      <x:c r="K100" s="50"/>
      <x:c r="L100" s="50">
        <x:f>F100+H100+J100</x:f>
        <x:v>-14400</x:v>
      </x:c>
      <x:c r="M100" s="52"/>
      <x:c r="R100" s="16">
        <x:f>SUM($R$85:$R$99)</x:f>
        <x:v>0</x:v>
      </x:c>
      <x:c r="S100" s="16">
        <x:f>SUM($S$85:$S$99)</x:f>
        <x:v>0</x:v>
      </x:c>
      <x:c r="T100" s="16">
        <x:f>SUM($T$85:$T$99)</x:f>
        <x:v>-14400</x:v>
      </x:c>
      <x:c r="U100" s="16">
        <x:f>SUM($U$85:$U$99)</x:f>
        <x:v>0</x:v>
      </x:c>
      <x:c r="V100" s="16">
        <x:f>SUM($V$85:$V$99)</x:f>
        <x:v>0</x:v>
      </x:c>
      <x:c r="W100" s="16">
        <x:f>SUM($W$85:$W$99)</x:f>
        <x:v>0</x:v>
      </x:c>
      <x:c r="X100" s="16">
        <x:f>SUM($X$85:$X$99)</x:f>
        <x:v>0</x:v>
      </x:c>
      <x:c r="Y100" s="16">
        <x:f>SUM($Y$85:$Y$99)</x:f>
        <x:v>0</x:v>
      </x:c>
      <x:c r="Z100" s="16">
        <x:f>SUM($Z$85:$Z$99)</x:f>
        <x:v>0</x:v>
      </x:c>
      <x:c r="AA100" s="16">
        <x:f>SUM($AA$85:$AA$99)</x:f>
        <x:v>0</x:v>
      </x:c>
      <x:c r="AB100" s="16">
        <x:f>SUM($AB$85:$AB$99)</x:f>
        <x:v>0</x:v>
      </x:c>
      <x:c r="AC100" s="16">
        <x:f>SUM($AC$85:$AC$99)</x:f>
        <x:v>0</x:v>
      </x:c>
      <x:c r="AD100" s="16">
        <x:f>SUM($AD$85:$AD$99)</x:f>
        <x:v>0</x:v>
      </x:c>
      <x:c r="AE100" s="16">
        <x:f>SUM($AE$85:$AE$99)</x:f>
        <x:v>0</x:v>
      </x:c>
      <x:c r="AF100" s="16">
        <x:f>SUM($AF$85:$AF$99)</x:f>
        <x:v>0</x:v>
      </x:c>
      <x:c r="AG100" s="16">
        <x:f>SUM($AG$85:$AG$99)</x:f>
        <x:v>0</x:v>
      </x:c>
      <x:c r="AH100" s="16">
        <x:f>SUM($AH$85:$AH$99)</x:f>
        <x:v>0</x:v>
      </x:c>
      <x:c r="AI100" s="16">
        <x:f>SUM($AI$85:$AI$99)</x:f>
        <x:v>0</x:v>
      </x:c>
      <x:c r="AJ100" s="16">
        <x:f>SUM($AJ$85:$AJ$99)</x:f>
        <x:v>0</x:v>
      </x:c>
      <x:c r="AK100" s="16">
        <x:f>SUM($AK$85:$AK$99)</x:f>
        <x:v>0</x:v>
      </x:c>
      <x:c r="AL100" s="16">
        <x:f>SUM($AL$85:$AL$99)</x:f>
        <x:v>0</x:v>
      </x:c>
    </x:row>
    <x:row r="101" spans="1:13" customFormat="1" ht="23.100000000000001" customHeight="1">
      <x:c r="A101" s="54"/>
      <x:c r="B101" s="54"/>
      <x:c r="C101" s="54"/>
      <x:c r="D101" s="54"/>
      <x:c r="E101" s="54"/>
      <x:c r="F101" s="54"/>
      <x:c r="G101" s="54"/>
      <x:c r="H101" s="54"/>
      <x:c r="I101" s="54"/>
      <x:c r="J101" s="54"/>
      <x:c r="K101" s="54"/>
      <x:c r="L101" s="54"/>
      <x:c r="M101" s="54"/>
    </x:row>
  </x:sheetData>
  <x:mergeCells count="17">
    <x:mergeCell ref="A1:M1"/>
    <x:mergeCell ref="A2:M2"/>
    <x:mergeCell ref="A3:A4"/>
    <x:mergeCell ref="B3:B4"/>
    <x:mergeCell ref="C3:C4"/>
    <x:mergeCell ref="D3:D4"/>
    <x:mergeCell ref="M3:M4"/>
    <x:mergeCell ref="E3:F3"/>
    <x:mergeCell ref="G3:H3"/>
    <x:mergeCell ref="I3:J3"/>
    <x:mergeCell ref="A85:M85"/>
    <x:mergeCell ref="K3:L3"/>
    <x:mergeCell ref="A5:M5"/>
    <x:mergeCell ref="A21:M21"/>
    <x:mergeCell ref="A37:M37"/>
    <x:mergeCell ref="A53:M53"/>
    <x:mergeCell ref="A69:M69"/>
  </x:mergeCells>
  <x:pageMargins left="0.74541664123535156" right="0" top="0.69444441795349121" bottom="0.1388888955116272" header="0.30000001192092896" footer="0.1388888955116272"/>
  <x:pageSetup paperSize="9" scale="100" firstPageNumber="1" fitToWidth="1" fitToHeight="1" orientation="landscape" usePrinterDefaults="1" blackAndWhite="0" draft="0" useFirstPageNumber="0" horizontalDpi="600" verticalDpi="600" copies="1"/>
  <x:rowBreaks count="6" manualBreakCount="6">
    <x:brk id="20" min="0" max="1048575" man="1" pt="0"/>
    <x:brk id="36" min="0" max="1048575" man="1" pt="0"/>
    <x:brk id="52" min="0" max="1048575" man="1" pt="0"/>
    <x:brk id="68" min="0" max="1048575" man="1" pt="0"/>
    <x:brk id="84" min="0" max="1048575" man="1" pt="0"/>
    <x:brk id="100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f19d86"/>
  </x:sheetPr>
  <x:dimension ref="A1:R36"/>
  <x:sheetViews>
    <x:sheetView topLeftCell="A1" zoomScaleNormal="100" workbookViewId="0">
      <x:selection activeCell="A1" activeCellId="0" sqref="A1:N1"/>
    </x:sheetView>
  </x:sheetViews>
  <x:sheetFormatPr defaultColWidth="9.00390625" defaultRowHeight="10.550000000000001"/>
  <x:cols>
    <x:col min="1" max="1" width="6.625" style="17" customWidth="1"/>
    <x:col min="2" max="3" width="19.625" style="16" customWidth="1"/>
    <x:col min="4" max="4" width="4.625" style="17" customWidth="1"/>
    <x:col min="5" max="5" width="6.625" style="17" customWidth="1"/>
    <x:col min="6" max="6" width="6.625" style="18" customWidth="1"/>
    <x:col min="7" max="7" width="7.625" style="18" customWidth="1"/>
    <x:col min="8" max="8" width="6.625" style="18" customWidth="1"/>
    <x:col min="9" max="9" width="7.625" style="18" customWidth="1"/>
    <x:col min="10" max="10" width="6.625" style="18" customWidth="1"/>
    <x:col min="11" max="11" width="7.625" style="18" customWidth="1"/>
    <x:col min="12" max="12" width="6.625" style="18" customWidth="1"/>
    <x:col min="13" max="13" width="7.625" style="18" customWidth="1"/>
    <x:col min="14" max="14" width="6.625" style="19" customWidth="1"/>
    <x:col min="15" max="18" width="0" style="16" hidden="1" customWidth="1"/>
    <x:col min="19" max="16384" width="9" style="16"/>
  </x:cols>
  <x:sheetData>
    <x:row r="1" spans="1:14" ht="30" customHeight="1">
      <x:c r="A1" s="98" t="s">
        <x:v>506</x:v>
      </x:c>
      <x:c r="B1" s="98"/>
      <x:c r="C1" s="98"/>
      <x:c r="D1" s="98"/>
      <x:c r="E1" s="98"/>
      <x:c r="F1" s="98"/>
      <x:c r="G1" s="98"/>
      <x:c r="H1" s="98"/>
      <x:c r="I1" s="98"/>
      <x:c r="J1" s="98"/>
      <x:c r="K1" s="98"/>
      <x:c r="L1" s="98"/>
      <x:c r="M1" s="98"/>
      <x:c r="N1" s="98"/>
    </x:row>
    <x:row r="2" spans="1:14" ht="23.100000000000001" customHeight="1">
      <x:c r="A2" s="112" t="s">
        <x:v>240</x:v>
      </x:c>
      <x:c r="B2" s="112"/>
      <x:c r="C2" s="112"/>
      <x:c r="D2" s="112"/>
      <x:c r="E2" s="112"/>
      <x:c r="F2" s="112"/>
      <x:c r="G2" s="112"/>
      <x:c r="H2" s="112"/>
      <x:c r="I2" s="112"/>
      <x:c r="J2" s="112"/>
      <x:c r="K2" s="112"/>
      <x:c r="L2" s="112"/>
      <x:c r="M2" s="112"/>
      <x:c r="N2" s="112"/>
    </x:row>
    <x:row r="3" spans="1:14" ht="23.100000000000001" customHeight="1">
      <x:c r="A3" s="111" t="s">
        <x:v>157</x:v>
      </x:c>
      <x:c r="B3" s="111" t="s">
        <x:v>43</x:v>
      </x:c>
      <x:c r="C3" s="111" t="s">
        <x:v>44</x:v>
      </x:c>
      <x:c r="D3" s="111" t="s">
        <x:v>225</x:v>
      </x:c>
      <x:c r="E3" s="111" t="s">
        <x:v>156</x:v>
      </x:c>
      <x:c r="F3" s="111" t="s">
        <x:v>346</x:v>
      </x:c>
      <x:c r="G3" s="111"/>
      <x:c r="H3" s="111" t="s">
        <x:v>347</x:v>
      </x:c>
      <x:c r="I3" s="111"/>
      <x:c r="J3" s="111" t="s">
        <x:v>348</x:v>
      </x:c>
      <x:c r="K3" s="111"/>
      <x:c r="L3" s="111" t="s">
        <x:v>349</x:v>
      </x:c>
      <x:c r="M3" s="111"/>
      <x:c r="N3" s="111" t="s">
        <x:v>333</x:v>
      </x:c>
    </x:row>
    <x:row r="4" spans="1:18" ht="23.100000000000001" customHeight="1">
      <x:c r="A4" s="111"/>
      <x:c r="B4" s="111"/>
      <x:c r="C4" s="111"/>
      <x:c r="D4" s="111"/>
      <x:c r="E4" s="111"/>
      <x:c r="F4" s="22" t="s">
        <x:v>334</x:v>
      </x:c>
      <x:c r="G4" s="22" t="s">
        <x:v>383</x:v>
      </x:c>
      <x:c r="H4" s="22" t="s">
        <x:v>334</x:v>
      </x:c>
      <x:c r="I4" s="22" t="s">
        <x:v>383</x:v>
      </x:c>
      <x:c r="J4" s="22" t="s">
        <x:v>334</x:v>
      </x:c>
      <x:c r="K4" s="22" t="s">
        <x:v>383</x:v>
      </x:c>
      <x:c r="L4" s="22" t="s">
        <x:v>334</x:v>
      </x:c>
      <x:c r="M4" s="22" t="s">
        <x:v>383</x:v>
      </x:c>
      <x:c r="N4" s="111"/>
      <x:c r="O4" s="16" t="s">
        <x:v>336</x:v>
      </x:c>
      <x:c r="P4" s="16" t="s">
        <x:v>337</x:v>
      </x:c>
      <x:c r="Q4" s="16" t="s">
        <x:v>338</x:v>
      </x:c>
      <x:c r="R4" s="16" t="s">
        <x:v>339</x:v>
      </x:c>
    </x:row>
    <x:row r="5" spans="1:14" ht="23.100000000000001" customHeight="1">
      <x:c r="A5" s="35" t="s">
        <x:v>386</x:v>
      </x:c>
      <x:c r="B5" s="36" t="s">
        <x:v>385</x:v>
      </x:c>
      <x:c r="C5" s="36" t="s">
        <x:v>360</x:v>
      </x:c>
      <x:c r="D5" s="35" t="s">
        <x:v>100</x:v>
      </x:c>
      <x:c r="E5" s="37">
        <x:v>1</x:v>
      </x:c>
      <x:c r="F5" s="38">
        <x:f>일위대가표!F7</x:f>
        <x:v>0</x:v>
      </x:c>
      <x:c r="G5" s="38">
        <x:f>E5*F5</x:f>
        <x:v>0</x:v>
      </x:c>
      <x:c r="H5" s="38">
        <x:f>일위대가표!H7</x:f>
        <x:v>1747</x:v>
      </x:c>
      <x:c r="I5" s="38">
        <x:f>E5*H5</x:f>
        <x:v>1747</x:v>
      </x:c>
      <x:c r="J5" s="38">
        <x:f>일위대가표!J7</x:f>
        <x:v>0</x:v>
      </x:c>
      <x:c r="K5" s="38">
        <x:f>E5*J5</x:f>
        <x:v>0</x:v>
      </x:c>
      <x:c r="L5" s="38">
        <x:f>F5+H5+J5</x:f>
        <x:v>1747</x:v>
      </x:c>
      <x:c r="M5" s="38">
        <x:f>G5+I5+K5</x:f>
        <x:v>1747</x:v>
      </x:c>
      <x:c r="N5" s="39" t="s">
        <x:v>220</x:v>
      </x:c>
    </x:row>
    <x:row r="6" spans="1:14" ht="23.100000000000001" customHeight="1">
      <x:c r="A6" s="35" t="s">
        <x:v>388</x:v>
      </x:c>
      <x:c r="B6" s="36" t="s">
        <x:v>387</x:v>
      </x:c>
      <x:c r="C6" s="36" t="s">
        <x:v>47</x:v>
      </x:c>
      <x:c r="D6" s="35" t="s">
        <x:v>100</x:v>
      </x:c>
      <x:c r="E6" s="37">
        <x:v>1</x:v>
      </x:c>
      <x:c r="F6" s="38">
        <x:f>일위대가표!F19</x:f>
        <x:v>872</x:v>
      </x:c>
      <x:c r="G6" s="38">
        <x:f>E6*F6</x:f>
        <x:v>872</x:v>
      </x:c>
      <x:c r="H6" s="38">
        <x:f>일위대가표!H19</x:f>
        <x:v>6431</x:v>
      </x:c>
      <x:c r="I6" s="38">
        <x:f>E6*H6</x:f>
        <x:v>6431</x:v>
      </x:c>
      <x:c r="J6" s="38">
        <x:f>일위대가표!J19</x:f>
        <x:v>0</x:v>
      </x:c>
      <x:c r="K6" s="38">
        <x:f>E6*J6</x:f>
        <x:v>0</x:v>
      </x:c>
      <x:c r="L6" s="38">
        <x:f>F6+H6+J6</x:f>
        <x:v>7303</x:v>
      </x:c>
      <x:c r="M6" s="38">
        <x:f>G6+I6+K6</x:f>
        <x:v>7303</x:v>
      </x:c>
      <x:c r="N6" s="39" t="s">
        <x:v>366</x:v>
      </x:c>
    </x:row>
    <x:row r="7" spans="1:14" ht="23.100000000000001" customHeight="1">
      <x:c r="A7" s="35" t="s">
        <x:v>390</x:v>
      </x:c>
      <x:c r="B7" s="36" t="s">
        <x:v>389</x:v>
      </x:c>
      <x:c r="C7" s="36" t="s">
        <x:v>154</x:v>
      </x:c>
      <x:c r="D7" s="35" t="s">
        <x:v>100</x:v>
      </x:c>
      <x:c r="E7" s="37">
        <x:v>1</x:v>
      </x:c>
      <x:c r="F7" s="38">
        <x:f>일위대가표!F28</x:f>
        <x:v>1942</x:v>
      </x:c>
      <x:c r="G7" s="38">
        <x:f>E7*F7</x:f>
        <x:v>1942</x:v>
      </x:c>
      <x:c r="H7" s="38">
        <x:f>일위대가표!H28</x:f>
        <x:v>7909</x:v>
      </x:c>
      <x:c r="I7" s="38">
        <x:f>E7*H7</x:f>
        <x:v>7909</x:v>
      </x:c>
      <x:c r="J7" s="38">
        <x:f>일위대가표!J28</x:f>
        <x:v>0</x:v>
      </x:c>
      <x:c r="K7" s="38">
        <x:f>E7*J7</x:f>
        <x:v>0</x:v>
      </x:c>
      <x:c r="L7" s="38">
        <x:f>F7+H7+J7</x:f>
        <x:v>9851</x:v>
      </x:c>
      <x:c r="M7" s="38">
        <x:f>G7+I7+K7</x:f>
        <x:v>9851</x:v>
      </x:c>
      <x:c r="N7" s="39" t="s">
        <x:v>220</x:v>
      </x:c>
    </x:row>
    <x:row r="8" spans="1:14" ht="23.100000000000001" customHeight="1">
      <x:c r="A8" s="35" t="s">
        <x:v>363</x:v>
      </x:c>
      <x:c r="B8" s="36" t="s">
        <x:v>364</x:v>
      </x:c>
      <x:c r="C8" s="36" t="s">
        <x:v>48</x:v>
      </x:c>
      <x:c r="D8" s="35" t="s">
        <x:v>100</x:v>
      </x:c>
      <x:c r="E8" s="37">
        <x:v>1</x:v>
      </x:c>
      <x:c r="F8" s="38">
        <x:f>일위대가표!F34</x:f>
        <x:v>174</x:v>
      </x:c>
      <x:c r="G8" s="38">
        <x:f>E8*F8</x:f>
        <x:v>174</x:v>
      </x:c>
      <x:c r="H8" s="38">
        <x:f>일위대가표!H34</x:f>
        <x:v>1309</x:v>
      </x:c>
      <x:c r="I8" s="38">
        <x:f>E8*H8</x:f>
        <x:v>1309</x:v>
      </x:c>
      <x:c r="J8" s="38">
        <x:f>일위대가표!J34</x:f>
        <x:v>0</x:v>
      </x:c>
      <x:c r="K8" s="38">
        <x:f>E8*J8</x:f>
        <x:v>0</x:v>
      </x:c>
      <x:c r="L8" s="38">
        <x:f>F8+H8+J8</x:f>
        <x:v>1483</x:v>
      </x:c>
      <x:c r="M8" s="38">
        <x:f>G8+I8+K8</x:f>
        <x:v>1483</x:v>
      </x:c>
      <x:c r="N8" s="39" t="s">
        <x:v>49</x:v>
      </x:c>
    </x:row>
    <x:row r="9" spans="1:14" ht="23.100000000000001" customHeight="1">
      <x:c r="A9" s="35" t="s">
        <x:v>392</x:v>
      </x:c>
      <x:c r="B9" s="36" t="s">
        <x:v>69</x:v>
      </x:c>
      <x:c r="C9" s="36" t="s">
        <x:v>365</x:v>
      </x:c>
      <x:c r="D9" s="35" t="s">
        <x:v>100</x:v>
      </x:c>
      <x:c r="E9" s="37">
        <x:v>1</x:v>
      </x:c>
      <x:c r="F9" s="38">
        <x:f>일위대가표!F43</x:f>
        <x:v>3597</x:v>
      </x:c>
      <x:c r="G9" s="38">
        <x:f>E9*F9</x:f>
        <x:v>3597</x:v>
      </x:c>
      <x:c r="H9" s="38">
        <x:f>일위대가표!H43</x:f>
        <x:v>15031</x:v>
      </x:c>
      <x:c r="I9" s="38">
        <x:f>E9*H9</x:f>
        <x:v>15031</x:v>
      </x:c>
      <x:c r="J9" s="38">
        <x:f>일위대가표!J43</x:f>
        <x:v>0</x:v>
      </x:c>
      <x:c r="K9" s="38">
        <x:f>E9*J9</x:f>
        <x:v>0</x:v>
      </x:c>
      <x:c r="L9" s="38">
        <x:f>F9+H9+J9</x:f>
        <x:v>18628</x:v>
      </x:c>
      <x:c r="M9" s="38">
        <x:f>G9+I9+K9</x:f>
        <x:v>18628</x:v>
      </x:c>
      <x:c r="N9" s="39" t="s">
        <x:v>220</x:v>
      </x:c>
    </x:row>
    <x:row r="10" spans="1:14" ht="23.100000000000001" customHeight="1">
      <x:c r="A10" s="35" t="s">
        <x:v>391</x:v>
      </x:c>
      <x:c r="B10" s="36" t="s">
        <x:v>502</x:v>
      </x:c>
      <x:c r="C10" s="36" t="s">
        <x:v>368</x:v>
      </x:c>
      <x:c r="D10" s="35" t="s">
        <x:v>216</x:v>
      </x:c>
      <x:c r="E10" s="37">
        <x:v>1</x:v>
      </x:c>
      <x:c r="F10" s="38">
        <x:f>일위대가표!F47</x:f>
        <x:v>5107</x:v>
      </x:c>
      <x:c r="G10" s="38">
        <x:f>E10*F10</x:f>
        <x:v>5107</x:v>
      </x:c>
      <x:c r="H10" s="38">
        <x:f>일위대가표!H47</x:f>
        <x:v>11355</x:v>
      </x:c>
      <x:c r="I10" s="38">
        <x:f>E10*H10</x:f>
        <x:v>11355</x:v>
      </x:c>
      <x:c r="J10" s="38">
        <x:f>일위대가표!J47</x:f>
        <x:v>89</x:v>
      </x:c>
      <x:c r="K10" s="38">
        <x:f>E10*J10</x:f>
        <x:v>89</x:v>
      </x:c>
      <x:c r="L10" s="38">
        <x:f>F10+H10+J10</x:f>
        <x:v>16551</x:v>
      </x:c>
      <x:c r="M10" s="38">
        <x:f>G10+I10+K10</x:f>
        <x:v>16551</x:v>
      </x:c>
      <x:c r="N10" s="39" t="s">
        <x:v>220</x:v>
      </x:c>
    </x:row>
    <x:row r="11" spans="1:14" ht="23.100000000000001" customHeight="1">
      <x:c r="A11" s="35" t="s">
        <x:v>367</x:v>
      </x:c>
      <x:c r="B11" s="36" t="s">
        <x:v>50</x:v>
      </x:c>
      <x:c r="C11" s="36" t="s">
        <x:v>539</x:v>
      </x:c>
      <x:c r="D11" s="35" t="s">
        <x:v>100</x:v>
      </x:c>
      <x:c r="E11" s="37">
        <x:v>1</x:v>
      </x:c>
      <x:c r="F11" s="38">
        <x:f>일위대가표!F52</x:f>
        <x:v>1867</x:v>
      </x:c>
      <x:c r="G11" s="38">
        <x:f>E11*F11</x:f>
        <x:v>1867</x:v>
      </x:c>
      <x:c r="H11" s="38">
        <x:f>일위대가표!H52</x:f>
        <x:v>1514</x:v>
      </x:c>
      <x:c r="I11" s="38">
        <x:f>E11*H11</x:f>
        <x:v>1514</x:v>
      </x:c>
      <x:c r="J11" s="38">
        <x:f>일위대가표!J52</x:f>
        <x:v>48</x:v>
      </x:c>
      <x:c r="K11" s="38">
        <x:f>E11*J11</x:f>
        <x:v>48</x:v>
      </x:c>
      <x:c r="L11" s="38">
        <x:f>F11+H11+J11</x:f>
        <x:v>3429</x:v>
      </x:c>
      <x:c r="M11" s="38">
        <x:f>G11+I11+K11</x:f>
        <x:v>3429</x:v>
      </x:c>
      <x:c r="N11" s="39" t="s">
        <x:v>53</x:v>
      </x:c>
    </x:row>
    <x:row r="12" spans="1:14" ht="23.100000000000001" customHeight="1">
      <x:c r="A12" s="35" t="s">
        <x:v>372</x:v>
      </x:c>
      <x:c r="B12" s="36" t="s">
        <x:v>369</x:v>
      </x:c>
      <x:c r="C12" s="36" t="s">
        <x:v>518</x:v>
      </x:c>
      <x:c r="D12" s="35" t="s">
        <x:v>205</x:v>
      </x:c>
      <x:c r="E12" s="37">
        <x:v>1</x:v>
      </x:c>
      <x:c r="F12" s="38">
        <x:f>일위대가표!F57</x:f>
        <x:v>77320</x:v>
      </x:c>
      <x:c r="G12" s="38">
        <x:f>E12*F12</x:f>
        <x:v>77320</x:v>
      </x:c>
      <x:c r="H12" s="38">
        <x:f>일위대가표!H57</x:f>
        <x:v>37668</x:v>
      </x:c>
      <x:c r="I12" s="38">
        <x:f>E12*H12</x:f>
        <x:v>37668</x:v>
      </x:c>
      <x:c r="J12" s="38">
        <x:f>일위대가표!J57</x:f>
        <x:v>0</x:v>
      </x:c>
      <x:c r="K12" s="38">
        <x:f>E12*J12</x:f>
        <x:v>0</x:v>
      </x:c>
      <x:c r="L12" s="38">
        <x:f>F12+H12+J12</x:f>
        <x:v>114988</x:v>
      </x:c>
      <x:c r="M12" s="38">
        <x:f>G12+I12+K12</x:f>
        <x:v>114988</x:v>
      </x:c>
      <x:c r="N12" s="39" t="s">
        <x:v>55</x:v>
      </x:c>
    </x:row>
    <x:row r="13" spans="1:14" ht="23.100000000000001" customHeight="1">
      <x:c r="A13" s="35" t="s">
        <x:v>374</x:v>
      </x:c>
      <x:c r="B13" s="36" t="s">
        <x:v>54</x:v>
      </x:c>
      <x:c r="C13" s="36" t="s">
        <x:v>371</x:v>
      </x:c>
      <x:c r="D13" s="35" t="s">
        <x:v>205</x:v>
      </x:c>
      <x:c r="E13" s="37">
        <x:v>1</x:v>
      </x:c>
      <x:c r="F13" s="38">
        <x:f>일위대가표!F66</x:f>
        <x:v>501</x:v>
      </x:c>
      <x:c r="G13" s="38">
        <x:f>E13*F13</x:f>
        <x:v>501</x:v>
      </x:c>
      <x:c r="H13" s="38">
        <x:f>일위대가표!H66</x:f>
        <x:v>11385</x:v>
      </x:c>
      <x:c r="I13" s="38">
        <x:f>E13*H13</x:f>
        <x:v>11385</x:v>
      </x:c>
      <x:c r="J13" s="38">
        <x:f>일위대가표!J66</x:f>
        <x:v>2004</x:v>
      </x:c>
      <x:c r="K13" s="38">
        <x:f>E13*J13</x:f>
        <x:v>2004</x:v>
      </x:c>
      <x:c r="L13" s="38">
        <x:f>F13+H13+J13</x:f>
        <x:v>13890</x:v>
      </x:c>
      <x:c r="M13" s="38">
        <x:f>G13+I13+K13</x:f>
        <x:v>13890</x:v>
      </x:c>
      <x:c r="N13" s="39" t="s">
        <x:v>515</x:v>
      </x:c>
    </x:row>
    <x:row r="14" spans="1:14" ht="23.100000000000001" customHeight="1">
      <x:c r="A14" s="35" t="s">
        <x:v>373</x:v>
      </x:c>
      <x:c r="B14" s="36" t="s">
        <x:v>54</x:v>
      </x:c>
      <x:c r="C14" s="36" t="s">
        <x:v>517</x:v>
      </x:c>
      <x:c r="D14" s="35" t="s">
        <x:v>100</x:v>
      </x:c>
      <x:c r="E14" s="37">
        <x:v>1</x:v>
      </x:c>
      <x:c r="F14" s="38">
        <x:f>일위대가표!F69</x:f>
        <x:v>0</x:v>
      </x:c>
      <x:c r="G14" s="38">
        <x:f>E14*F14</x:f>
        <x:v>0</x:v>
      </x:c>
      <x:c r="H14" s="38">
        <x:f>일위대가표!H69</x:f>
        <x:v>337</x:v>
      </x:c>
      <x:c r="I14" s="38">
        <x:f>E14*H14</x:f>
        <x:v>337</x:v>
      </x:c>
      <x:c r="J14" s="38">
        <x:f>일위대가표!J69</x:f>
        <x:v>0</x:v>
      </x:c>
      <x:c r="K14" s="38">
        <x:f>E14*J14</x:f>
        <x:v>0</x:v>
      </x:c>
      <x:c r="L14" s="38">
        <x:f>F14+H14+J14</x:f>
        <x:v>337</x:v>
      </x:c>
      <x:c r="M14" s="38">
        <x:f>G14+I14+K14</x:f>
        <x:v>337</x:v>
      </x:c>
      <x:c r="N14" s="39" t="s">
        <x:v>512</x:v>
      </x:c>
    </x:row>
    <x:row r="15" spans="1:14" ht="23.100000000000001" customHeight="1">
      <x:c r="A15" s="35" t="s">
        <x:v>370</x:v>
      </x:c>
      <x:c r="B15" s="36" t="s">
        <x:v>51</x:v>
      </x:c>
      <x:c r="C15" s="36" t="s">
        <x:v>52</x:v>
      </x:c>
      <x:c r="D15" s="35" t="s">
        <x:v>100</x:v>
      </x:c>
      <x:c r="E15" s="37">
        <x:v>1</x:v>
      </x:c>
      <x:c r="F15" s="38">
        <x:f>일위대가표!F76</x:f>
        <x:v>879</x:v>
      </x:c>
      <x:c r="G15" s="38">
        <x:f>E15*F15</x:f>
        <x:v>879</x:v>
      </x:c>
      <x:c r="H15" s="38">
        <x:f>일위대가표!H76</x:f>
        <x:v>4591</x:v>
      </x:c>
      <x:c r="I15" s="38">
        <x:f>E15*H15</x:f>
        <x:v>4591</x:v>
      </x:c>
      <x:c r="J15" s="38">
        <x:f>일위대가표!J76</x:f>
        <x:v>0</x:v>
      </x:c>
      <x:c r="K15" s="38">
        <x:f>E15*J15</x:f>
        <x:v>0</x:v>
      </x:c>
      <x:c r="L15" s="38">
        <x:f>F15+H15+J15</x:f>
        <x:v>5470</x:v>
      </x:c>
      <x:c r="M15" s="38">
        <x:f>G15+I15+K15</x:f>
        <x:v>5470</x:v>
      </x:c>
      <x:c r="N15" s="39" t="s">
        <x:v>56</x:v>
      </x:c>
    </x:row>
    <x:row r="16" spans="1:14" ht="23.100000000000001" customHeight="1">
      <x:c r="A16" s="35" t="s">
        <x:v>394</x:v>
      </x:c>
      <x:c r="B16" s="36" t="s">
        <x:v>393</x:v>
      </x:c>
      <x:c r="C16" s="36" t="s">
        <x:v>57</x:v>
      </x:c>
      <x:c r="D16" s="35" t="s">
        <x:v>100</x:v>
      </x:c>
      <x:c r="E16" s="37">
        <x:v>1</x:v>
      </x:c>
      <x:c r="F16" s="38">
        <x:f>일위대가표!F88</x:f>
        <x:v>1618</x:v>
      </x:c>
      <x:c r="G16" s="38">
        <x:f>E16*F16</x:f>
        <x:v>1618</x:v>
      </x:c>
      <x:c r="H16" s="38">
        <x:f>일위대가표!H88</x:f>
        <x:v>8445</x:v>
      </x:c>
      <x:c r="I16" s="38">
        <x:f>E16*H16</x:f>
        <x:v>8445</x:v>
      </x:c>
      <x:c r="J16" s="38">
        <x:f>일위대가표!J88</x:f>
        <x:v>0</x:v>
      </x:c>
      <x:c r="K16" s="38">
        <x:f>E16*J16</x:f>
        <x:v>0</x:v>
      </x:c>
      <x:c r="L16" s="38">
        <x:f>F16+H16+J16</x:f>
        <x:v>10063</x:v>
      </x:c>
      <x:c r="M16" s="38">
        <x:f>G16+I16+K16</x:f>
        <x:v>10063</x:v>
      </x:c>
      <x:c r="N16" s="39" t="s">
        <x:v>366</x:v>
      </x:c>
    </x:row>
    <x:row r="17" spans="1:14" ht="23.100000000000001" customHeight="1">
      <x:c r="A17" s="35" t="s">
        <x:v>396</x:v>
      </x:c>
      <x:c r="B17" s="36" t="s">
        <x:v>239</x:v>
      </x:c>
      <x:c r="C17" s="36" t="s">
        <x:v>59</x:v>
      </x:c>
      <x:c r="D17" s="35" t="s">
        <x:v>100</x:v>
      </x:c>
      <x:c r="E17" s="37">
        <x:v>1</x:v>
      </x:c>
      <x:c r="F17" s="38">
        <x:f>일위대가표!F89</x:f>
        <x:v>76000</x:v>
      </x:c>
      <x:c r="G17" s="38">
        <x:f>E17*F17</x:f>
        <x:v>76000</x:v>
      </x:c>
      <x:c r="H17" s="38">
        <x:f>일위대가표!H89</x:f>
        <x:v>32000</x:v>
      </x:c>
      <x:c r="I17" s="38">
        <x:f>E17*H17</x:f>
        <x:v>32000</x:v>
      </x:c>
      <x:c r="J17" s="38">
        <x:f>일위대가표!J89</x:f>
        <x:v>4000</x:v>
      </x:c>
      <x:c r="K17" s="38">
        <x:f>E17*J17</x:f>
        <x:v>4000</x:v>
      </x:c>
      <x:c r="L17" s="38">
        <x:f>F17+H17+J17</x:f>
        <x:v>112000</x:v>
      </x:c>
      <x:c r="M17" s="38">
        <x:f>G17+I17+K17</x:f>
        <x:v>112000</x:v>
      </x:c>
      <x:c r="N17" s="39" t="s">
        <x:v>378</x:v>
      </x:c>
    </x:row>
    <x:row r="18" spans="1:14" ht="23.100000000000001" customHeight="1">
      <x:c r="A18" s="35" t="s">
        <x:v>395</x:v>
      </x:c>
      <x:c r="B18" s="36" t="s">
        <x:v>398</x:v>
      </x:c>
      <x:c r="C18" s="36" t="s">
        <x:v>246</x:v>
      </x:c>
      <x:c r="D18" s="35" t="s">
        <x:v>100</x:v>
      </x:c>
      <x:c r="E18" s="37">
        <x:v>1</x:v>
      </x:c>
      <x:c r="F18" s="38">
        <x:f>일위대가표!F95</x:f>
        <x:v>12815</x:v>
      </x:c>
      <x:c r="G18" s="38">
        <x:f>E18*F18</x:f>
        <x:v>12815</x:v>
      </x:c>
      <x:c r="H18" s="38">
        <x:f>일위대가표!H95</x:f>
        <x:v>8917</x:v>
      </x:c>
      <x:c r="I18" s="38">
        <x:f>E18*H18</x:f>
        <x:v>8917</x:v>
      </x:c>
      <x:c r="J18" s="38">
        <x:f>일위대가표!J95</x:f>
        <x:v>0</x:v>
      </x:c>
      <x:c r="K18" s="38">
        <x:f>E18*J18</x:f>
        <x:v>0</x:v>
      </x:c>
      <x:c r="L18" s="38">
        <x:f>F18+H18+J18</x:f>
        <x:v>21732</x:v>
      </x:c>
      <x:c r="M18" s="38">
        <x:f>G18+I18+K18</x:f>
        <x:v>21732</x:v>
      </x:c>
      <x:c r="N18" s="39" t="s">
        <x:v>61</x:v>
      </x:c>
    </x:row>
    <x:row r="19" spans="1:14" ht="23.100000000000001" customHeight="1">
      <x:c r="A19" s="35" t="s">
        <x:v>397</x:v>
      </x:c>
      <x:c r="B19" s="36" t="s">
        <x:v>400</x:v>
      </x:c>
      <x:c r="C19" s="36" t="s">
        <x:v>220</x:v>
      </x:c>
      <x:c r="D19" s="35" t="s">
        <x:v>100</x:v>
      </x:c>
      <x:c r="E19" s="37">
        <x:v>1</x:v>
      </x:c>
      <x:c r="F19" s="38">
        <x:f>일위대가표!F101</x:f>
        <x:v>470</x:v>
      </x:c>
      <x:c r="G19" s="38">
        <x:f>E19*F19</x:f>
        <x:v>470</x:v>
      </x:c>
      <x:c r="H19" s="38">
        <x:f>일위대가표!H101</x:f>
        <x:v>5862</x:v>
      </x:c>
      <x:c r="I19" s="38">
        <x:f>E19*H19</x:f>
        <x:v>5862</x:v>
      </x:c>
      <x:c r="J19" s="38">
        <x:f>일위대가표!J101</x:f>
        <x:v>0</x:v>
      </x:c>
      <x:c r="K19" s="38">
        <x:f>E19*J19</x:f>
        <x:v>0</x:v>
      </x:c>
      <x:c r="L19" s="38">
        <x:f>F19+H19+J19</x:f>
        <x:v>6332</x:v>
      </x:c>
      <x:c r="M19" s="38">
        <x:f>G19+I19+K19</x:f>
        <x:v>6332</x:v>
      </x:c>
      <x:c r="N19" s="39" t="s">
        <x:v>220</x:v>
      </x:c>
    </x:row>
    <x:row r="20" spans="1:14" ht="23.100000000000001" customHeight="1">
      <x:c r="A20" s="35" t="s">
        <x:v>399</x:v>
      </x:c>
      <x:c r="B20" s="36" t="s">
        <x:v>402</x:v>
      </x:c>
      <x:c r="C20" s="36" t="s">
        <x:v>377</x:v>
      </x:c>
      <x:c r="D20" s="35" t="s">
        <x:v>100</x:v>
      </x:c>
      <x:c r="E20" s="37">
        <x:v>1</x:v>
      </x:c>
      <x:c r="F20" s="38">
        <x:f>일위대가표!F104</x:f>
        <x:v>0</x:v>
      </x:c>
      <x:c r="G20" s="38">
        <x:f>E20*F20</x:f>
        <x:v>0</x:v>
      </x:c>
      <x:c r="H20" s="38">
        <x:f>일위대가표!H104</x:f>
        <x:v>2634</x:v>
      </x:c>
      <x:c r="I20" s="38">
        <x:f>E20*H20</x:f>
        <x:v>2634</x:v>
      </x:c>
      <x:c r="J20" s="38">
        <x:f>일위대가표!J104</x:f>
        <x:v>0</x:v>
      </x:c>
      <x:c r="K20" s="38">
        <x:f>E20*J20</x:f>
        <x:v>0</x:v>
      </x:c>
      <x:c r="L20" s="38">
        <x:f>F20+H20+J20</x:f>
        <x:v>2634</x:v>
      </x:c>
      <x:c r="M20" s="38">
        <x:f>G20+I20+K20</x:f>
        <x:v>2634</x:v>
      </x:c>
      <x:c r="N20" s="39" t="s">
        <x:v>62</x:v>
      </x:c>
    </x:row>
    <x:row r="21" spans="1:14" ht="23.100000000000001" customHeight="1">
      <x:c r="A21" s="35" t="s">
        <x:v>401</x:v>
      </x:c>
      <x:c r="B21" s="36" t="s">
        <x:v>504</x:v>
      </x:c>
      <x:c r="C21" s="36" t="s">
        <x:v>220</x:v>
      </x:c>
      <x:c r="D21" s="35" t="s">
        <x:v>216</x:v>
      </x:c>
      <x:c r="E21" s="37">
        <x:v>1</x:v>
      </x:c>
      <x:c r="F21" s="38">
        <x:f>일위대가표!F108</x:f>
        <x:v>1077</x:v>
      </x:c>
      <x:c r="G21" s="38">
        <x:f>E21*F21</x:f>
        <x:v>1077</x:v>
      </x:c>
      <x:c r="H21" s="38">
        <x:f>일위대가표!H108</x:f>
        <x:v>35901</x:v>
      </x:c>
      <x:c r="I21" s="38">
        <x:f>E21*H21</x:f>
        <x:v>35901</x:v>
      </x:c>
      <x:c r="J21" s="38">
        <x:f>일위대가표!J108</x:f>
        <x:v>0</x:v>
      </x:c>
      <x:c r="K21" s="38">
        <x:f>E21*J21</x:f>
        <x:v>0</x:v>
      </x:c>
      <x:c r="L21" s="38">
        <x:f>F21+H21+J21</x:f>
        <x:v>36978</x:v>
      </x:c>
      <x:c r="M21" s="38">
        <x:f>G21+I21+K21</x:f>
        <x:v>36978</x:v>
      </x:c>
      <x:c r="N21" s="39" t="s">
        <x:v>220</x:v>
      </x:c>
    </x:row>
    <x:row r="22" spans="1:14" ht="23.100000000000001" customHeight="1">
      <x:c r="A22" s="35" t="s">
        <x:v>404</x:v>
      </x:c>
      <x:c r="B22" s="36" t="s">
        <x:v>406</x:v>
      </x:c>
      <x:c r="C22" s="36" t="s">
        <x:v>220</x:v>
      </x:c>
      <x:c r="D22" s="35" t="s">
        <x:v>100</x:v>
      </x:c>
      <x:c r="E22" s="37">
        <x:v>1</x:v>
      </x:c>
      <x:c r="F22" s="38">
        <x:f>일위대가표!F111</x:f>
        <x:v>947</x:v>
      </x:c>
      <x:c r="G22" s="38">
        <x:f>E22*F22</x:f>
        <x:v>947</x:v>
      </x:c>
      <x:c r="H22" s="38">
        <x:f>일위대가표!H111</x:f>
        <x:v>18054</x:v>
      </x:c>
      <x:c r="I22" s="38">
        <x:f>E22*H22</x:f>
        <x:v>18054</x:v>
      </x:c>
      <x:c r="J22" s="38">
        <x:f>일위대가표!J111</x:f>
        <x:v>42</x:v>
      </x:c>
      <x:c r="K22" s="38">
        <x:f>E22*J22</x:f>
        <x:v>42</x:v>
      </x:c>
      <x:c r="L22" s="38">
        <x:f>F22+H22+J22</x:f>
        <x:v>19043</x:v>
      </x:c>
      <x:c r="M22" s="38">
        <x:f>G22+I22+K22</x:f>
        <x:v>19043</x:v>
      </x:c>
      <x:c r="N22" s="39" t="s">
        <x:v>220</x:v>
      </x:c>
    </x:row>
    <x:row r="23" spans="1:14" ht="23.100000000000001" customHeight="1">
      <x:c r="A23" s="35" t="s">
        <x:v>380</x:v>
      </x:c>
      <x:c r="B23" s="36" t="s">
        <x:v>64</x:v>
      </x:c>
      <x:c r="C23" s="36" t="s">
        <x:v>151</x:v>
      </x:c>
      <x:c r="D23" s="35" t="s">
        <x:v>169</x:v>
      </x:c>
      <x:c r="E23" s="37">
        <x:v>1</x:v>
      </x:c>
      <x:c r="F23" s="38">
        <x:f>일위대가표!F123</x:f>
        <x:v>227301</x:v>
      </x:c>
      <x:c r="G23" s="38">
        <x:f>E23*F23</x:f>
        <x:v>227301</x:v>
      </x:c>
      <x:c r="H23" s="38">
        <x:f>일위대가표!H123</x:f>
        <x:v>4329651</x:v>
      </x:c>
      <x:c r="I23" s="38">
        <x:f>E23*H23</x:f>
        <x:v>4329651</x:v>
      </x:c>
      <x:c r="J23" s="38">
        <x:f>일위대가표!J123</x:f>
        <x:v>10306</x:v>
      </x:c>
      <x:c r="K23" s="38">
        <x:f>E23*J23</x:f>
        <x:v>10306</x:v>
      </x:c>
      <x:c r="L23" s="38">
        <x:f>F23+H23+J23</x:f>
        <x:v>4567258</x:v>
      </x:c>
      <x:c r="M23" s="38">
        <x:f>G23+I23+K23</x:f>
        <x:v>4567258</x:v>
      </x:c>
      <x:c r="N23" s="39" t="s">
        <x:v>382</x:v>
      </x:c>
    </x:row>
    <x:row r="24" spans="1:14" ht="23.100000000000001" customHeight="1">
      <x:c r="A24" s="35" t="s">
        <x:v>403</x:v>
      </x:c>
      <x:c r="B24" s="36" t="s">
        <x:v>503</x:v>
      </x:c>
      <x:c r="C24" s="36" t="s">
        <x:v>63</x:v>
      </x:c>
      <x:c r="D24" s="35" t="s">
        <x:v>218</x:v>
      </x:c>
      <x:c r="E24" s="37">
        <x:v>1</x:v>
      </x:c>
      <x:c r="F24" s="38">
        <x:f>일위대가표!F127</x:f>
        <x:v>1436</x:v>
      </x:c>
      <x:c r="G24" s="38">
        <x:f>E24*F24</x:f>
        <x:v>1436</x:v>
      </x:c>
      <x:c r="H24" s="38">
        <x:f>일위대가표!H127</x:f>
        <x:v>14367</x:v>
      </x:c>
      <x:c r="I24" s="38">
        <x:f>E24*H24</x:f>
        <x:v>14367</x:v>
      </x:c>
      <x:c r="J24" s="38">
        <x:f>일위대가표!J127</x:f>
        <x:v>0</x:v>
      </x:c>
      <x:c r="K24" s="38">
        <x:f>E24*J24</x:f>
        <x:v>0</x:v>
      </x:c>
      <x:c r="L24" s="38">
        <x:f>F24+H24+J24</x:f>
        <x:v>15803</x:v>
      </x:c>
      <x:c r="M24" s="38">
        <x:f>G24+I24+K24</x:f>
        <x:v>15803</x:v>
      </x:c>
      <x:c r="N24" s="39" t="s">
        <x:v>65</x:v>
      </x:c>
    </x:row>
    <x:row r="25" spans="1:14" ht="23.100000000000001" customHeight="1">
      <x:c r="A25" s="35" t="s">
        <x:v>405</x:v>
      </x:c>
      <x:c r="B25" s="36" t="s">
        <x:v>500</x:v>
      </x:c>
      <x:c r="C25" s="36" t="s">
        <x:v>505</x:v>
      </x:c>
      <x:c r="D25" s="35" t="s">
        <x:v>216</x:v>
      </x:c>
      <x:c r="E25" s="37">
        <x:v>1</x:v>
      </x:c>
      <x:c r="F25" s="38">
        <x:f>일위대가표!F131</x:f>
        <x:v>4037</x:v>
      </x:c>
      <x:c r="G25" s="38">
        <x:f>E25*F25</x:f>
        <x:v>4037</x:v>
      </x:c>
      <x:c r="H25" s="38">
        <x:f>일위대가표!H131</x:f>
        <x:v>27917</x:v>
      </x:c>
      <x:c r="I25" s="38">
        <x:f>E25*H25</x:f>
        <x:v>27917</x:v>
      </x:c>
      <x:c r="J25" s="38">
        <x:f>일위대가표!J131</x:f>
        <x:v>0</x:v>
      </x:c>
      <x:c r="K25" s="38">
        <x:f>E25*J25</x:f>
        <x:v>0</x:v>
      </x:c>
      <x:c r="L25" s="38">
        <x:f>F25+H25+J25</x:f>
        <x:v>31954</x:v>
      </x:c>
      <x:c r="M25" s="38">
        <x:f>G25+I25+K25</x:f>
        <x:v>31954</x:v>
      </x:c>
      <x:c r="N25" s="39" t="s">
        <x:v>220</x:v>
      </x:c>
    </x:row>
    <x:row r="26" spans="1:14" ht="23.100000000000001" customHeight="1">
      <x:c r="A26" s="35" t="s">
        <x:v>381</x:v>
      </x:c>
      <x:c r="B26" s="36" t="s">
        <x:v>379</x:v>
      </x:c>
      <x:c r="C26" s="36" t="s">
        <x:v>508</x:v>
      </x:c>
      <x:c r="D26" s="35" t="s">
        <x:v>150</x:v>
      </x:c>
      <x:c r="E26" s="37">
        <x:v>1</x:v>
      </x:c>
      <x:c r="F26" s="38">
        <x:f>일위대가표!F137</x:f>
        <x:v>4037</x:v>
      </x:c>
      <x:c r="G26" s="38">
        <x:f>E26*F26</x:f>
        <x:v>4037</x:v>
      </x:c>
      <x:c r="H26" s="38">
        <x:f>일위대가표!H137</x:f>
        <x:v>16255</x:v>
      </x:c>
      <x:c r="I26" s="38">
        <x:f>E26*H26</x:f>
        <x:v>16255</x:v>
      </x:c>
      <x:c r="J26" s="38">
        <x:f>일위대가표!J137</x:f>
        <x:v>0</x:v>
      </x:c>
      <x:c r="K26" s="38">
        <x:f>E26*J26</x:f>
        <x:v>0</x:v>
      </x:c>
      <x:c r="L26" s="38">
        <x:f>F26+H26+J26</x:f>
        <x:v>20292</x:v>
      </x:c>
      <x:c r="M26" s="38">
        <x:f>G26+I26+K26</x:f>
        <x:v>20292</x:v>
      </x:c>
      <x:c r="N26" s="39" t="s">
        <x:v>66</x:v>
      </x:c>
    </x:row>
    <x:row r="27" spans="1:14" ht="23.100000000000001" customHeight="1">
      <x:c r="A27" s="35" t="s">
        <x:v>407</x:v>
      </x:c>
      <x:c r="B27" s="36" t="s">
        <x:v>71</x:v>
      </x:c>
      <x:c r="C27" s="36" t="s">
        <x:v>220</x:v>
      </x:c>
      <x:c r="D27" s="35" t="s">
        <x:v>216</x:v>
      </x:c>
      <x:c r="E27" s="37">
        <x:v>1</x:v>
      </x:c>
      <x:c r="F27" s="38">
        <x:f>일위대가표!F142</x:f>
        <x:v>19909</x:v>
      </x:c>
      <x:c r="G27" s="38">
        <x:f>E27*F27</x:f>
        <x:v>19909</x:v>
      </x:c>
      <x:c r="H27" s="38">
        <x:f>일위대가표!H142</x:f>
        <x:v>222391</x:v>
      </x:c>
      <x:c r="I27" s="38">
        <x:f>E27*H27</x:f>
        <x:v>222391</x:v>
      </x:c>
      <x:c r="J27" s="38">
        <x:f>일위대가표!J142</x:f>
        <x:v>0</x:v>
      </x:c>
      <x:c r="K27" s="38">
        <x:f>E27*J27</x:f>
        <x:v>0</x:v>
      </x:c>
      <x:c r="L27" s="38">
        <x:f>F27+H27+J27</x:f>
        <x:v>242300</x:v>
      </x:c>
      <x:c r="M27" s="38">
        <x:f>G27+I27+K27</x:f>
        <x:v>242300</x:v>
      </x:c>
      <x:c r="N27" s="39" t="s">
        <x:v>220</x:v>
      </x:c>
    </x:row>
    <x:row r="28" spans="1:14" ht="23.100000000000001" customHeight="1">
      <x:c r="A28" s="35" t="s">
        <x:v>384</x:v>
      </x:c>
      <x:c r="B28" s="36" t="s">
        <x:v>67</x:v>
      </x:c>
      <x:c r="C28" s="36" t="s">
        <x:v>68</x:v>
      </x:c>
      <x:c r="D28" s="35" t="s">
        <x:v>149</x:v>
      </x:c>
      <x:c r="E28" s="37">
        <x:v>1</x:v>
      </x:c>
      <x:c r="F28" s="38">
        <x:f>일위대가표!F155</x:f>
        <x:v>39819</x:v>
      </x:c>
      <x:c r="G28" s="38">
        <x:f>E28*F28</x:f>
        <x:v>39819</x:v>
      </x:c>
      <x:c r="H28" s="38">
        <x:f>일위대가표!H155</x:f>
        <x:v>52683</x:v>
      </x:c>
      <x:c r="I28" s="38">
        <x:f>E28*H28</x:f>
        <x:v>52683</x:v>
      </x:c>
      <x:c r="J28" s="38">
        <x:f>일위대가표!J155</x:f>
        <x:v>0</x:v>
      </x:c>
      <x:c r="K28" s="38">
        <x:f>E28*J28</x:f>
        <x:v>0</x:v>
      </x:c>
      <x:c r="L28" s="38">
        <x:f>F28+H28+J28</x:f>
        <x:v>92502</x:v>
      </x:c>
      <x:c r="M28" s="38">
        <x:f>G28+I28+K28</x:f>
        <x:v>92502</x:v>
      </x:c>
      <x:c r="N28" s="39" t="s">
        <x:v>501</x:v>
      </x:c>
    </x:row>
    <x:row r="29" spans="1:14" ht="23.100000000000001" customHeight="1">
      <x:c r="A29" s="35" t="s">
        <x:v>408</x:v>
      </x:c>
      <x:c r="B29" s="36" t="s">
        <x:v>72</x:v>
      </x:c>
      <x:c r="C29" s="36" t="s">
        <x:v>220</x:v>
      </x:c>
      <x:c r="D29" s="35" t="s">
        <x:v>216</x:v>
      </x:c>
      <x:c r="E29" s="37">
        <x:v>1</x:v>
      </x:c>
      <x:c r="F29" s="38">
        <x:f>일위대가표!F159</x:f>
        <x:v>790</x:v>
      </x:c>
      <x:c r="G29" s="38">
        <x:f>E29*F29</x:f>
        <x:v>790</x:v>
      </x:c>
      <x:c r="H29" s="38">
        <x:f>일위대가표!H159</x:f>
        <x:v>26341</x:v>
      </x:c>
      <x:c r="I29" s="38">
        <x:f>E29*H29</x:f>
        <x:v>26341</x:v>
      </x:c>
      <x:c r="J29" s="38">
        <x:f>일위대가표!J159</x:f>
        <x:v>0</x:v>
      </x:c>
      <x:c r="K29" s="38">
        <x:f>E29*J29</x:f>
        <x:v>0</x:v>
      </x:c>
      <x:c r="L29" s="38">
        <x:f>F29+H29+J29</x:f>
        <x:v>27131</x:v>
      </x:c>
      <x:c r="M29" s="38">
        <x:f>G29+I29+K29</x:f>
        <x:v>27131</x:v>
      </x:c>
      <x:c r="N29" s="39" t="s">
        <x:v>220</x:v>
      </x:c>
    </x:row>
    <x:row r="30" spans="1:14" ht="23.100000000000001" customHeight="1">
      <x:c r="A30" s="37"/>
      <x:c r="B30" s="40"/>
      <x:c r="C30" s="40"/>
      <x:c r="D30" s="37"/>
      <x:c r="E30" s="37"/>
      <x:c r="F30" s="41"/>
      <x:c r="G30" s="38"/>
      <x:c r="H30" s="41"/>
      <x:c r="I30" s="38"/>
      <x:c r="J30" s="41"/>
      <x:c r="K30" s="38"/>
      <x:c r="L30" s="41"/>
      <x:c r="M30" s="38"/>
      <x:c r="N30" s="42"/>
    </x:row>
    <x:row r="31" spans="1:14" ht="23.100000000000001" customHeight="1">
      <x:c r="A31" s="37"/>
      <x:c r="B31" s="40"/>
      <x:c r="C31" s="40"/>
      <x:c r="D31" s="37"/>
      <x:c r="E31" s="37"/>
      <x:c r="F31" s="41"/>
      <x:c r="G31" s="38"/>
      <x:c r="H31" s="41"/>
      <x:c r="I31" s="38"/>
      <x:c r="J31" s="41"/>
      <x:c r="K31" s="38"/>
      <x:c r="L31" s="41"/>
      <x:c r="M31" s="38"/>
      <x:c r="N31" s="42"/>
    </x:row>
    <x:row r="32" spans="1:14" ht="23.100000000000001" customHeight="1">
      <x:c r="A32" s="37"/>
      <x:c r="B32" s="40"/>
      <x:c r="C32" s="40"/>
      <x:c r="D32" s="37"/>
      <x:c r="E32" s="37"/>
      <x:c r="F32" s="41"/>
      <x:c r="G32" s="38"/>
      <x:c r="H32" s="41"/>
      <x:c r="I32" s="38"/>
      <x:c r="J32" s="41"/>
      <x:c r="K32" s="38"/>
      <x:c r="L32" s="41"/>
      <x:c r="M32" s="38"/>
      <x:c r="N32" s="42"/>
    </x:row>
    <x:row r="33" spans="1:14" ht="23.100000000000001" customHeight="1">
      <x:c r="A33" s="37"/>
      <x:c r="B33" s="40"/>
      <x:c r="C33" s="40"/>
      <x:c r="D33" s="37"/>
      <x:c r="E33" s="37"/>
      <x:c r="F33" s="41"/>
      <x:c r="G33" s="38"/>
      <x:c r="H33" s="41"/>
      <x:c r="I33" s="38"/>
      <x:c r="J33" s="41"/>
      <x:c r="K33" s="38"/>
      <x:c r="L33" s="41"/>
      <x:c r="M33" s="38"/>
      <x:c r="N33" s="42"/>
    </x:row>
    <x:row r="34" spans="1:14" ht="23.100000000000001" customHeight="1">
      <x:c r="A34" s="37"/>
      <x:c r="B34" s="40"/>
      <x:c r="C34" s="40"/>
      <x:c r="D34" s="37"/>
      <x:c r="E34" s="37"/>
      <x:c r="F34" s="41"/>
      <x:c r="G34" s="38"/>
      <x:c r="H34" s="41"/>
      <x:c r="I34" s="38"/>
      <x:c r="J34" s="41"/>
      <x:c r="K34" s="38"/>
      <x:c r="L34" s="41"/>
      <x:c r="M34" s="38"/>
      <x:c r="N34" s="42"/>
    </x:row>
    <x:row r="35" spans="1:14" ht="23.100000000000001" customHeight="1">
      <x:c r="A35" s="37"/>
      <x:c r="B35" s="40"/>
      <x:c r="C35" s="40"/>
      <x:c r="D35" s="37"/>
      <x:c r="E35" s="37"/>
      <x:c r="F35" s="41"/>
      <x:c r="G35" s="38"/>
      <x:c r="H35" s="41"/>
      <x:c r="I35" s="38"/>
      <x:c r="J35" s="41"/>
      <x:c r="K35" s="38"/>
      <x:c r="L35" s="41"/>
      <x:c r="M35" s="38"/>
      <x:c r="N35" s="42"/>
    </x:row>
    <x:row r="36" spans="1:14" ht="23.100000000000001" customHeight="1">
      <x:c r="A36" s="37"/>
      <x:c r="B36" s="40"/>
      <x:c r="C36" s="40"/>
      <x:c r="D36" s="37"/>
      <x:c r="E36" s="37"/>
      <x:c r="F36" s="41"/>
      <x:c r="G36" s="38"/>
      <x:c r="H36" s="41"/>
      <x:c r="I36" s="38"/>
      <x:c r="J36" s="41"/>
      <x:c r="K36" s="38"/>
      <x:c r="L36" s="41"/>
      <x:c r="M36" s="38"/>
      <x:c r="N36" s="42"/>
    </x:row>
  </x:sheetData>
  <x:mergeCells count="12">
    <x:mergeCell ref="J3:K3"/>
    <x:mergeCell ref="L3:M3"/>
    <x:mergeCell ref="A1:N1"/>
    <x:mergeCell ref="A2:N2"/>
    <x:mergeCell ref="A3:A4"/>
    <x:mergeCell ref="B3:B4"/>
    <x:mergeCell ref="C3:C4"/>
    <x:mergeCell ref="D3:D4"/>
    <x:mergeCell ref="E3:E4"/>
    <x:mergeCell ref="N3:N4"/>
    <x:mergeCell ref="F3:G3"/>
    <x:mergeCell ref="H3:I3"/>
  </x:mergeCells>
  <x:pageMargins left="0.74541664123535156" right="0" top="0.69444441795349121" bottom="0.1388888955116272" header="0.30000001192092896" footer="0.1388888955116272"/>
  <x:pageSetup paperSize="9" scale="100" firstPageNumber="1" fitToWidth="1" fitToHeight="1" orientation="landscape" usePrinterDefaults="1" blackAndWhite="0" draft="0" useFirstPageNumber="0" horizontalDpi="600" verticalDpi="600" copies="1"/>
  <x:rowBreaks count="2" manualBreakCount="2">
    <x:brk id="20" min="0" max="1048575" man="1" pt="0"/>
    <x:brk id="36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ffffb7"/>
  </x:sheetPr>
  <x:dimension ref="A1:Q164"/>
  <x:sheetViews>
    <x:sheetView topLeftCell="A79" zoomScaleNormal="100" workbookViewId="0">
      <x:selection activeCell="R89" activeCellId="0" sqref="R89:R89"/>
    </x:sheetView>
  </x:sheetViews>
  <x:sheetFormatPr defaultColWidth="9.00390625" defaultRowHeight="10.550000000000001"/>
  <x:cols>
    <x:col min="1" max="2" width="19.625" style="16" customWidth="1"/>
    <x:col min="3" max="3" width="4.625" style="17" customWidth="1"/>
    <x:col min="4" max="5" width="6.625" style="18" customWidth="1"/>
    <x:col min="6" max="6" width="8.625" style="18" customWidth="1"/>
    <x:col min="7" max="7" width="6.625" style="18" customWidth="1"/>
    <x:col min="8" max="8" width="8.625" style="18" customWidth="1"/>
    <x:col min="9" max="9" width="6.625" style="18" customWidth="1"/>
    <x:col min="10" max="10" width="8.625" style="18" customWidth="1"/>
    <x:col min="11" max="11" width="6.625" style="18" customWidth="1"/>
    <x:col min="12" max="12" width="8.625" style="18" customWidth="1"/>
    <x:col min="13" max="13" width="8.625" style="19" customWidth="1"/>
    <x:col min="14" max="17" width="0" style="16" hidden="1" customWidth="1"/>
    <x:col min="18" max="16384" width="9" style="16"/>
  </x:cols>
  <x:sheetData>
    <x:row r="1" spans="1:13" ht="30" customHeight="1">
      <x:c r="A1" s="98" t="s">
        <x:v>523</x:v>
      </x:c>
      <x:c r="B1" s="98"/>
      <x:c r="C1" s="98"/>
      <x:c r="D1" s="98"/>
      <x:c r="E1" s="98"/>
      <x:c r="F1" s="98"/>
      <x:c r="G1" s="98"/>
      <x:c r="H1" s="98"/>
      <x:c r="I1" s="98"/>
      <x:c r="J1" s="98"/>
      <x:c r="K1" s="98"/>
      <x:c r="L1" s="98"/>
      <x:c r="M1" s="98"/>
    </x:row>
    <x:row r="2" spans="1:13" ht="23.100000000000001" customHeight="1">
      <x:c r="A2" s="112" t="s">
        <x:v>240</x:v>
      </x:c>
      <x:c r="B2" s="112"/>
      <x:c r="C2" s="112"/>
      <x:c r="D2" s="112"/>
      <x:c r="E2" s="112"/>
      <x:c r="F2" s="112"/>
      <x:c r="G2" s="112"/>
      <x:c r="H2" s="112"/>
      <x:c r="I2" s="112"/>
      <x:c r="J2" s="112"/>
      <x:c r="K2" s="112"/>
      <x:c r="L2" s="112"/>
      <x:c r="M2" s="112"/>
    </x:row>
    <x:row r="3" spans="1:13" ht="23.100000000000001" customHeight="1">
      <x:c r="A3" s="111" t="s">
        <x:v>43</x:v>
      </x:c>
      <x:c r="B3" s="111" t="s">
        <x:v>44</x:v>
      </x:c>
      <x:c r="C3" s="111" t="s">
        <x:v>225</x:v>
      </x:c>
      <x:c r="D3" s="111" t="s">
        <x:v>332</x:v>
      </x:c>
      <x:c r="E3" s="111" t="s">
        <x:v>358</x:v>
      </x:c>
      <x:c r="F3" s="111"/>
      <x:c r="G3" s="111" t="s">
        <x:v>357</x:v>
      </x:c>
      <x:c r="H3" s="111"/>
      <x:c r="I3" s="111" t="s">
        <x:v>45</x:v>
      </x:c>
      <x:c r="J3" s="111"/>
      <x:c r="K3" s="111" t="s">
        <x:v>46</x:v>
      </x:c>
      <x:c r="L3" s="111"/>
      <x:c r="M3" s="111" t="s">
        <x:v>333</x:v>
      </x:c>
    </x:row>
    <x:row r="4" spans="1:17" ht="23.100000000000001" customHeight="1">
      <x:c r="A4" s="111"/>
      <x:c r="B4" s="111"/>
      <x:c r="C4" s="111"/>
      <x:c r="D4" s="111"/>
      <x:c r="E4" s="22" t="s">
        <x:v>334</x:v>
      </x:c>
      <x:c r="F4" s="22" t="s">
        <x:v>340</x:v>
      </x:c>
      <x:c r="G4" s="22" t="s">
        <x:v>334</x:v>
      </x:c>
      <x:c r="H4" s="22" t="s">
        <x:v>340</x:v>
      </x:c>
      <x:c r="I4" s="22" t="s">
        <x:v>334</x:v>
      </x:c>
      <x:c r="J4" s="22" t="s">
        <x:v>340</x:v>
      </x:c>
      <x:c r="K4" s="22" t="s">
        <x:v>334</x:v>
      </x:c>
      <x:c r="L4" s="22" t="s">
        <x:v>340</x:v>
      </x:c>
      <x:c r="M4" s="111"/>
      <x:c r="N4" s="16" t="s">
        <x:v>336</x:v>
      </x:c>
      <x:c r="O4" s="16" t="s">
        <x:v>337</x:v>
      </x:c>
      <x:c r="P4" s="16" t="s">
        <x:v>338</x:v>
      </x:c>
      <x:c r="Q4" s="16" t="s">
        <x:v>339</x:v>
      </x:c>
    </x:row>
    <x:row r="5" spans="1:13" ht="23.100000000000001" customHeight="1">
      <x:c r="A5" s="23" t="s">
        <x:v>524</x:v>
      </x:c>
      <x:c r="B5" s="23" t="s">
        <x:v>360</x:v>
      </x:c>
      <x:c r="C5" s="24" t="s">
        <x:v>100</x:v>
      </x:c>
      <x:c r="D5" s="26"/>
      <x:c r="E5" s="26"/>
      <x:c r="F5" s="26"/>
      <x:c r="G5" s="26"/>
      <x:c r="H5" s="26"/>
      <x:c r="I5" s="26"/>
      <x:c r="J5" s="26"/>
      <x:c r="K5" s="26"/>
      <x:c r="L5" s="26"/>
      <x:c r="M5" s="27" t="s">
        <x:v>220</x:v>
      </x:c>
    </x:row>
    <x:row r="6" spans="1:17" ht="23.100000000000001" customHeight="1">
      <x:c r="A6" s="23" t="s">
        <x:v>314</x:v>
      </x:c>
      <x:c r="B6" s="23" t="s">
        <x:v>220</x:v>
      </x:c>
      <x:c r="C6" s="24" t="s">
        <x:v>177</x:v>
      </x:c>
      <x:c r="D6" s="26">
        <x:v>0.019900000000000001</x:v>
      </x:c>
      <x:c r="E6" s="26"/>
      <x:c r="F6" s="26"/>
      <x:c r="G6" s="26">
        <x:f>자재단가대비표!N47</x:f>
        <x:v>87805</x:v>
      </x:c>
      <x:c r="H6" s="26">
        <x:f>ROUNDDOWN(D6*G6,1)</x:f>
        <x:v>1747.3</x:v>
      </x:c>
      <x:c r="I6" s="26"/>
      <x:c r="J6" s="26"/>
      <x:c r="K6" s="26">
        <x:f>E6+G6+I6</x:f>
        <x:v>87805</x:v>
      </x:c>
      <x:c r="L6" s="26">
        <x:f>F6+H6+J6</x:f>
        <x:v>1747.3</x:v>
      </x:c>
      <x:c r="M6" s="28"/>
      <x:c r="O6" s="20" t="s">
        <x:v>155</x:v>
      </x:c>
      <x:c r="P6" s="20" t="s">
        <x:v>342</x:v>
      </x:c>
      <x:c r="Q6" s="16">
        <x:v>1</x:v>
      </x:c>
    </x:row>
    <x:row r="7" spans="1:13" ht="23.100000000000001" customHeight="1">
      <x:c r="A7" s="24" t="s">
        <x:v>344</x:v>
      </x:c>
      <x:c r="B7" s="29"/>
      <x:c r="C7" s="30"/>
      <x:c r="D7" s="31"/>
      <x:c r="E7" s="31"/>
      <x:c r="F7" s="32">
        <x:f>ROUNDDOWN(SUMIF($Q$6:$Q$6,1,$F$6:$F$6),0)</x:f>
        <x:v>0</x:v>
      </x:c>
      <x:c r="G7" s="31"/>
      <x:c r="H7" s="32">
        <x:f>ROUNDDOWN(SUMIF($Q$6:$Q$6,1,$H$6:$H$6),0)</x:f>
        <x:v>1747</x:v>
      </x:c>
      <x:c r="I7" s="31"/>
      <x:c r="J7" s="32">
        <x:f>ROUNDDOWN(SUMIF($Q$6:$Q$6,1,$J$6:$J$6),0)</x:f>
        <x:v>0</x:v>
      </x:c>
      <x:c r="K7" s="31"/>
      <x:c r="L7" s="32">
        <x:f>F7+H7+J7</x:f>
        <x:v>1747</x:v>
      </x:c>
      <x:c r="M7" s="28"/>
    </x:row>
    <x:row r="8" spans="1:13" ht="23.100000000000001" customHeight="1">
      <x:c r="A8" s="23" t="s">
        <x:v>522</x:v>
      </x:c>
      <x:c r="B8" s="23" t="s">
        <x:v>47</x:v>
      </x:c>
      <x:c r="C8" s="24" t="s">
        <x:v>100</x:v>
      </x:c>
      <x:c r="D8" s="26"/>
      <x:c r="E8" s="26"/>
      <x:c r="F8" s="26"/>
      <x:c r="G8" s="26"/>
      <x:c r="H8" s="26"/>
      <x:c r="I8" s="26"/>
      <x:c r="J8" s="26"/>
      <x:c r="K8" s="26"/>
      <x:c r="L8" s="26"/>
      <x:c r="M8" s="27" t="s">
        <x:v>366</x:v>
      </x:c>
    </x:row>
    <x:row r="9" spans="1:17" ht="23.100000000000001" customHeight="1">
      <x:c r="A9" s="23" t="s">
        <x:v>270</x:v>
      </x:c>
      <x:c r="B9" s="23" t="s">
        <x:v>536</x:v>
      </x:c>
      <x:c r="C9" s="24" t="s">
        <x:v>218</x:v>
      </x:c>
      <x:c r="D9" s="26">
        <x:v>0.090600000000000003</x:v>
      </x:c>
      <x:c r="E9" s="26">
        <x:f>자재단가대비표!N6</x:f>
        <x:v>2700</x:v>
      </x:c>
      <x:c r="F9" s="26">
        <x:f>ROUNDDOWN(D9*E9,1)</x:f>
        <x:v>244.59999999999999</x:v>
      </x:c>
      <x:c r="G9" s="26"/>
      <x:c r="H9" s="26"/>
      <x:c r="I9" s="26"/>
      <x:c r="J9" s="26"/>
      <x:c r="K9" s="26">
        <x:f>E9+G9+I9</x:f>
        <x:v>2700</x:v>
      </x:c>
      <x:c r="L9" s="26">
        <x:f>F9+H9+J9</x:f>
        <x:v>244.59999999999999</x:v>
      </x:c>
      <x:c r="M9" s="28"/>
      <x:c r="O9" s="20" t="s">
        <x:v>159</x:v>
      </x:c>
      <x:c r="P9" s="20" t="s">
        <x:v>342</x:v>
      </x:c>
      <x:c r="Q9" s="16">
        <x:v>1</x:v>
      </x:c>
    </x:row>
    <x:row r="10" spans="1:17" ht="23.100000000000001" customHeight="1">
      <x:c r="A10" s="23" t="s">
        <x:v>307</x:v>
      </x:c>
      <x:c r="B10" s="23" t="s">
        <x:v>27</x:v>
      </x:c>
      <x:c r="C10" s="24" t="s">
        <x:v>216</x:v>
      </x:c>
      <x:c r="D10" s="26">
        <x:v>0.029999999999999999</x:v>
      </x:c>
      <x:c r="E10" s="26">
        <x:f>자재단가대비표!N34</x:f>
        <x:v>830</x:v>
      </x:c>
      <x:c r="F10" s="26">
        <x:f>ROUNDDOWN(D10*E10,1)</x:f>
        <x:v>24.899999999999999</x:v>
      </x:c>
      <x:c r="G10" s="26"/>
      <x:c r="H10" s="26"/>
      <x:c r="I10" s="26"/>
      <x:c r="J10" s="26"/>
      <x:c r="K10" s="26">
        <x:f>E10+G10+I10</x:f>
        <x:v>830</x:v>
      </x:c>
      <x:c r="L10" s="26">
        <x:f>F10+H10+J10</x:f>
        <x:v>24.899999999999999</x:v>
      </x:c>
      <x:c r="M10" s="28"/>
      <x:c r="O10" s="20" t="s">
        <x:v>159</x:v>
      </x:c>
      <x:c r="P10" s="20" t="s">
        <x:v>342</x:v>
      </x:c>
      <x:c r="Q10" s="16">
        <x:v>1</x:v>
      </x:c>
    </x:row>
    <x:row r="11" spans="1:17" ht="23.100000000000001" customHeight="1">
      <x:c r="A11" s="23" t="s">
        <x:v>311</x:v>
      </x:c>
      <x:c r="B11" s="23" t="s">
        <x:v>25</x:v>
      </x:c>
      <x:c r="C11" s="24" t="s">
        <x:v>216</x:v>
      </x:c>
      <x:c r="D11" s="26">
        <x:v>0.0624</x:v>
      </x:c>
      <x:c r="E11" s="26">
        <x:f>자재단가대비표!N39</x:f>
        <x:v>1270</x:v>
      </x:c>
      <x:c r="F11" s="26">
        <x:f>ROUNDDOWN(D11*E11,1)</x:f>
        <x:v>79.200000000000003</x:v>
      </x:c>
      <x:c r="G11" s="26"/>
      <x:c r="H11" s="26"/>
      <x:c r="I11" s="26"/>
      <x:c r="J11" s="26"/>
      <x:c r="K11" s="26">
        <x:f>E11+G11+I11</x:f>
        <x:v>1270</x:v>
      </x:c>
      <x:c r="L11" s="26">
        <x:f>F11+H11+J11</x:f>
        <x:v>79.200000000000003</x:v>
      </x:c>
      <x:c r="M11" s="28"/>
      <x:c r="O11" s="20" t="s">
        <x:v>159</x:v>
      </x:c>
      <x:c r="P11" s="20" t="s">
        <x:v>342</x:v>
      </x:c>
      <x:c r="Q11" s="16">
        <x:v>1</x:v>
      </x:c>
    </x:row>
    <x:row r="12" spans="1:17" ht="23.100000000000001" customHeight="1">
      <x:c r="A12" s="23" t="s">
        <x:v>281</x:v>
      </x:c>
      <x:c r="B12" s="23" t="s">
        <x:v>285</x:v>
      </x:c>
      <x:c r="C12" s="24" t="s">
        <x:v>216</x:v>
      </x:c>
      <x:c r="D12" s="26">
        <x:v>0.0035100000000000003</x:v>
      </x:c>
      <x:c r="E12" s="26">
        <x:f>자재단가대비표!N16</x:f>
        <x:v>2900</x:v>
      </x:c>
      <x:c r="F12" s="26">
        <x:f>ROUNDDOWN(D12*E12,1)</x:f>
        <x:v>10.1</x:v>
      </x:c>
      <x:c r="G12" s="26"/>
      <x:c r="H12" s="26"/>
      <x:c r="I12" s="26"/>
      <x:c r="J12" s="26"/>
      <x:c r="K12" s="26">
        <x:f>E12+G12+I12</x:f>
        <x:v>2900</x:v>
      </x:c>
      <x:c r="L12" s="26">
        <x:f>F12+H12+J12</x:f>
        <x:v>10.1</x:v>
      </x:c>
      <x:c r="M12" s="28"/>
      <x:c r="O12" s="20" t="s">
        <x:v>159</x:v>
      </x:c>
      <x:c r="P12" s="20" t="s">
        <x:v>342</x:v>
      </x:c>
      <x:c r="Q12" s="16">
        <x:v>1</x:v>
      </x:c>
    </x:row>
    <x:row r="13" spans="1:17" ht="23.100000000000001" customHeight="1">
      <x:c r="A13" s="23" t="s">
        <x:v>301</x:v>
      </x:c>
      <x:c r="B13" s="23" t="s">
        <x:v>301</x:v>
      </x:c>
      <x:c r="C13" s="24" t="s">
        <x:v>216</x:v>
      </x:c>
      <x:c r="D13" s="26">
        <x:v>0.046999999999999997</x:v>
      </x:c>
      <x:c r="E13" s="26">
        <x:f>자재단가대비표!N31</x:f>
        <x:v>1000</x:v>
      </x:c>
      <x:c r="F13" s="26">
        <x:f>ROUNDDOWN(D13*E13,1)</x:f>
        <x:v>47</x:v>
      </x:c>
      <x:c r="G13" s="26"/>
      <x:c r="H13" s="26"/>
      <x:c r="I13" s="26"/>
      <x:c r="J13" s="26"/>
      <x:c r="K13" s="26">
        <x:f>E13+G13+I13</x:f>
        <x:v>1000</x:v>
      </x:c>
      <x:c r="L13" s="26">
        <x:f>F13+H13+J13</x:f>
        <x:v>47</x:v>
      </x:c>
      <x:c r="M13" s="28"/>
      <x:c r="O13" s="20" t="s">
        <x:v>159</x:v>
      </x:c>
      <x:c r="P13" s="20" t="s">
        <x:v>342</x:v>
      </x:c>
      <x:c r="Q13" s="16">
        <x:v>1</x:v>
      </x:c>
    </x:row>
    <x:row r="14" spans="1:17" ht="23.100000000000001" customHeight="1">
      <x:c r="A14" s="23" t="s">
        <x:v>299</x:v>
      </x:c>
      <x:c r="B14" s="23" t="s">
        <x:v>31</x:v>
      </x:c>
      <x:c r="C14" s="24" t="s">
        <x:v>188</x:v>
      </x:c>
      <x:c r="D14" s="26">
        <x:v>0.0052000000000000002</x:v>
      </x:c>
      <x:c r="E14" s="26">
        <x:f>자재단가대비표!N30</x:f>
        <x:v>26350</x:v>
      </x:c>
      <x:c r="F14" s="26">
        <x:f>ROUNDDOWN(D14*E14,1)</x:f>
        <x:v>137</x:v>
      </x:c>
      <x:c r="G14" s="26"/>
      <x:c r="H14" s="26"/>
      <x:c r="I14" s="26"/>
      <x:c r="J14" s="26"/>
      <x:c r="K14" s="26">
        <x:f>E14+G14+I14</x:f>
        <x:v>26350</x:v>
      </x:c>
      <x:c r="L14" s="26">
        <x:f>F14+H14+J14</x:f>
        <x:v>137</x:v>
      </x:c>
      <x:c r="M14" s="28"/>
      <x:c r="O14" s="20" t="s">
        <x:v>159</x:v>
      </x:c>
      <x:c r="P14" s="20" t="s">
        <x:v>342</x:v>
      </x:c>
      <x:c r="Q14" s="16">
        <x:v>1</x:v>
      </x:c>
    </x:row>
    <x:row r="15" spans="1:17" ht="23.100000000000001" customHeight="1">
      <x:c r="A15" s="23" t="s">
        <x:v>241</x:v>
      </x:c>
      <x:c r="B15" s="23" t="s">
        <x:v>271</x:v>
      </x:c>
      <x:c r="C15" s="24" t="s">
        <x:v>216</x:v>
      </x:c>
      <x:c r="D15" s="26">
        <x:v>0.0046800000000000003</x:v>
      </x:c>
      <x:c r="E15" s="26">
        <x:f>자재단가대비표!N7</x:f>
        <x:v>1700</x:v>
      </x:c>
      <x:c r="F15" s="26">
        <x:f>ROUNDDOWN(D15*E15,1)</x:f>
        <x:v>7.9000000000000004</x:v>
      </x:c>
      <x:c r="G15" s="26"/>
      <x:c r="H15" s="26"/>
      <x:c r="I15" s="26"/>
      <x:c r="J15" s="26"/>
      <x:c r="K15" s="26">
        <x:f>E15+G15+I15</x:f>
        <x:v>1700</x:v>
      </x:c>
      <x:c r="L15" s="26">
        <x:f>F15+H15+J15</x:f>
        <x:v>7.9000000000000004</x:v>
      </x:c>
      <x:c r="M15" s="28"/>
      <x:c r="O15" s="20" t="s">
        <x:v>159</x:v>
      </x:c>
      <x:c r="P15" s="20" t="s">
        <x:v>342</x:v>
      </x:c>
      <x:c r="Q15" s="16">
        <x:v>1</x:v>
      </x:c>
    </x:row>
    <x:row r="16" spans="1:17" ht="23.100000000000001" customHeight="1">
      <x:c r="A16" s="23" t="s">
        <x:v>173</x:v>
      </x:c>
      <x:c r="B16" s="23" t="s">
        <x:v>220</x:v>
      </x:c>
      <x:c r="C16" s="24" t="s">
        <x:v>177</x:v>
      </x:c>
      <x:c r="D16" s="26">
        <x:v>0.038700000000000001</x:v>
      </x:c>
      <x:c r="E16" s="26"/>
      <x:c r="F16" s="26"/>
      <x:c r="G16" s="26">
        <x:f>자재단가대비표!N48</x:f>
        <x:v>158014</x:v>
      </x:c>
      <x:c r="H16" s="26">
        <x:f>ROUNDDOWN(D16*G16,1)</x:f>
        <x:v>6115.1000000000004</x:v>
      </x:c>
      <x:c r="I16" s="26"/>
      <x:c r="J16" s="26"/>
      <x:c r="K16" s="26">
        <x:f>E16+G16+I16</x:f>
        <x:v>158014</x:v>
      </x:c>
      <x:c r="L16" s="26">
        <x:f>F16+H16+J16</x:f>
        <x:v>6115.1000000000004</x:v>
      </x:c>
      <x:c r="M16" s="28"/>
      <x:c r="O16" s="20" t="s">
        <x:v>155</x:v>
      </x:c>
      <x:c r="P16" s="20" t="s">
        <x:v>342</x:v>
      </x:c>
      <x:c r="Q16" s="16">
        <x:v>1</x:v>
      </x:c>
    </x:row>
    <x:row r="17" spans="1:17" ht="23.100000000000001" customHeight="1">
      <x:c r="A17" s="23" t="s">
        <x:v>314</x:v>
      </x:c>
      <x:c r="B17" s="23" t="s">
        <x:v>220</x:v>
      </x:c>
      <x:c r="C17" s="24" t="s">
        <x:v>177</x:v>
      </x:c>
      <x:c r="D17" s="26">
        <x:v>0.0035999999999999999</x:v>
      </x:c>
      <x:c r="E17" s="26"/>
      <x:c r="F17" s="26"/>
      <x:c r="G17" s="26">
        <x:f>자재단가대비표!N47</x:f>
        <x:v>87805</x:v>
      </x:c>
      <x:c r="H17" s="26">
        <x:f>ROUNDDOWN(D17*G17,1)</x:f>
        <x:v>316</x:v>
      </x:c>
      <x:c r="I17" s="26"/>
      <x:c r="J17" s="26"/>
      <x:c r="K17" s="26">
        <x:f>E17+G17+I17</x:f>
        <x:v>87805</x:v>
      </x:c>
      <x:c r="L17" s="26">
        <x:f>F17+H17+J17</x:f>
        <x:v>316</x:v>
      </x:c>
      <x:c r="M17" s="28"/>
      <x:c r="O17" s="20" t="s">
        <x:v>155</x:v>
      </x:c>
      <x:c r="P17" s="20" t="s">
        <x:v>342</x:v>
      </x:c>
      <x:c r="Q17" s="16">
        <x:v>1</x:v>
      </x:c>
    </x:row>
    <x:row r="18" spans="1:17" ht="23.100000000000001" customHeight="1">
      <x:c r="A18" s="23" t="s">
        <x:v>362</x:v>
      </x:c>
      <x:c r="B18" s="29" t="str">
        <x:f>"노무비의 "&amp;N18*100&amp;"%"</x:f>
        <x:v>노무비의 5%</x:v>
      </x:c>
      <x:c r="C18" s="24" t="s">
        <x:v>160</x:v>
      </x:c>
      <x:c r="D18" s="34" t="s">
        <x:v>158</x:v>
      </x:c>
      <x:c r="E18" s="26">
        <x:f>SUMIF($O$8:O18,"02",$H$8:H18)</x:f>
        <x:v>6431.1000000000004</x:v>
      </x:c>
      <x:c r="F18" s="26">
        <x:f>ROUNDDOWN(E18*N18,1)</x:f>
        <x:v>321.5</x:v>
      </x:c>
      <x:c r="G18" s="26"/>
      <x:c r="H18" s="26"/>
      <x:c r="I18" s="26"/>
      <x:c r="J18" s="26"/>
      <x:c r="K18" s="26">
        <x:f>E18+G18+I18</x:f>
        <x:v>6431.1000000000004</x:v>
      </x:c>
      <x:c r="L18" s="26">
        <x:f>F18+H18+J18</x:f>
        <x:v>321.5</x:v>
      </x:c>
      <x:c r="M18" s="27" t="s">
        <x:v>361</x:v>
      </x:c>
      <x:c r="N18" s="21">
        <x:v>0.05</x:v>
      </x:c>
      <x:c r="P18" s="20" t="s">
        <x:v>342</x:v>
      </x:c>
      <x:c r="Q18" s="16">
        <x:v>1</x:v>
      </x:c>
    </x:row>
    <x:row r="19" spans="1:13" ht="23.100000000000001" customHeight="1">
      <x:c r="A19" s="24" t="s">
        <x:v>344</x:v>
      </x:c>
      <x:c r="B19" s="29"/>
      <x:c r="C19" s="30"/>
      <x:c r="D19" s="31"/>
      <x:c r="E19" s="31"/>
      <x:c r="F19" s="32">
        <x:f>ROUNDDOWN(SUMIF($Q$9:$Q$18,1,$F$9:$F$18),0)</x:f>
        <x:v>872</x:v>
      </x:c>
      <x:c r="G19" s="31"/>
      <x:c r="H19" s="32">
        <x:f>ROUNDDOWN(SUMIF($Q$9:$Q$18,1,$H$9:$H$18),0)</x:f>
        <x:v>6431</x:v>
      </x:c>
      <x:c r="I19" s="31"/>
      <x:c r="J19" s="32">
        <x:f>ROUNDDOWN(SUMIF($Q$9:$Q$18,1,$J$9:$J$18),0)</x:f>
        <x:v>0</x:v>
      </x:c>
      <x:c r="K19" s="31"/>
      <x:c r="L19" s="32">
        <x:f>F19+H19+J19</x:f>
        <x:v>7303</x:v>
      </x:c>
      <x:c r="M19" s="28"/>
    </x:row>
    <x:row r="20" spans="1:13" ht="23.100000000000001" customHeight="1">
      <x:c r="A20" s="23" t="s">
        <x:v>520</x:v>
      </x:c>
      <x:c r="B20" s="23" t="s">
        <x:v>154</x:v>
      </x:c>
      <x:c r="C20" s="24" t="s">
        <x:v>100</x:v>
      </x:c>
      <x:c r="D20" s="26"/>
      <x:c r="E20" s="26"/>
      <x:c r="F20" s="26"/>
      <x:c r="G20" s="26"/>
      <x:c r="H20" s="26"/>
      <x:c r="I20" s="26"/>
      <x:c r="J20" s="26"/>
      <x:c r="K20" s="26"/>
      <x:c r="L20" s="26"/>
      <x:c r="M20" s="27" t="s">
        <x:v>220</x:v>
      </x:c>
    </x:row>
    <x:row r="21" spans="1:17" ht="23.100000000000001" customHeight="1">
      <x:c r="A21" s="23" t="s">
        <x:v>364</x:v>
      </x:c>
      <x:c r="B21" s="23" t="s">
        <x:v>48</x:v>
      </x:c>
      <x:c r="C21" s="24" t="s">
        <x:v>100</x:v>
      </x:c>
      <x:c r="D21" s="26">
        <x:v>1</x:v>
      </x:c>
      <x:c r="E21" s="26">
        <x:f>일위대가표!F34</x:f>
        <x:v>174</x:v>
      </x:c>
      <x:c r="F21" s="26">
        <x:f>ROUNDDOWN(D21*E21,1)</x:f>
        <x:v>174</x:v>
      </x:c>
      <x:c r="G21" s="26">
        <x:f>일위대가표!H34</x:f>
        <x:v>1309</x:v>
      </x:c>
      <x:c r="H21" s="26">
        <x:f>ROUNDDOWN(D21*G21,1)</x:f>
        <x:v>1309</x:v>
      </x:c>
      <x:c r="I21" s="26"/>
      <x:c r="J21" s="26"/>
      <x:c r="K21" s="26">
        <x:f>E21+G21+I21</x:f>
        <x:v>1483</x:v>
      </x:c>
      <x:c r="L21" s="26">
        <x:f>F21+H21+J21</x:f>
        <x:v>1483</x:v>
      </x:c>
      <x:c r="M21" s="27" t="s">
        <x:v>363</x:v>
      </x:c>
      <x:c r="P21" s="20" t="s">
        <x:v>342</x:v>
      </x:c>
      <x:c r="Q21" s="16">
        <x:v>1</x:v>
      </x:c>
    </x:row>
    <x:row r="22" spans="1:17" ht="23.100000000000001" customHeight="1">
      <x:c r="A22" s="23" t="s">
        <x:v>36</x:v>
      </x:c>
      <x:c r="B22" s="23" t="s">
        <x:v>533</x:v>
      </x:c>
      <x:c r="C22" s="24" t="s">
        <x:v>208</x:v>
      </x:c>
      <x:c r="D22" s="26">
        <x:v>0.33000000000000002</x:v>
      </x:c>
      <x:c r="E22" s="26">
        <x:f>자재단가대비표!N13</x:f>
        <x:v>3644</x:v>
      </x:c>
      <x:c r="F22" s="26">
        <x:f>ROUNDDOWN(D22*E22,1)</x:f>
        <x:v>1202.5</x:v>
      </x:c>
      <x:c r="G22" s="26"/>
      <x:c r="H22" s="26"/>
      <x:c r="I22" s="26"/>
      <x:c r="J22" s="26"/>
      <x:c r="K22" s="26">
        <x:f>E22+G22+I22</x:f>
        <x:v>3644</x:v>
      </x:c>
      <x:c r="L22" s="26">
        <x:f>F22+H22+J22</x:f>
        <x:v>1202.5</x:v>
      </x:c>
      <x:c r="M22" s="28"/>
      <x:c r="O22" s="20" t="s">
        <x:v>159</x:v>
      </x:c>
      <x:c r="P22" s="20" t="s">
        <x:v>342</x:v>
      </x:c>
      <x:c r="Q22" s="16">
        <x:v>1</x:v>
      </x:c>
    </x:row>
    <x:row r="23" spans="1:17" ht="23.100000000000001" customHeight="1">
      <x:c r="A23" s="23" t="s">
        <x:v>193</x:v>
      </x:c>
      <x:c r="B23" s="23" t="s">
        <x:v>537</x:v>
      </x:c>
      <x:c r="C23" s="24" t="s">
        <x:v>208</x:v>
      </x:c>
      <x:c r="D23" s="26">
        <x:v>0.075</x:v>
      </x:c>
      <x:c r="E23" s="26">
        <x:f>자재단가대비표!N25</x:f>
        <x:v>1840</x:v>
      </x:c>
      <x:c r="F23" s="26">
        <x:f>ROUNDDOWN(D23*E23,1)</x:f>
        <x:v>138</x:v>
      </x:c>
      <x:c r="G23" s="26"/>
      <x:c r="H23" s="26"/>
      <x:c r="I23" s="26"/>
      <x:c r="J23" s="26"/>
      <x:c r="K23" s="26">
        <x:f>E23+G23+I23</x:f>
        <x:v>1840</x:v>
      </x:c>
      <x:c r="L23" s="26">
        <x:f>F23+H23+J23</x:f>
        <x:v>138</x:v>
      </x:c>
      <x:c r="M23" s="28"/>
      <x:c r="O23" s="20" t="s">
        <x:v>159</x:v>
      </x:c>
      <x:c r="P23" s="20" t="s">
        <x:v>342</x:v>
      </x:c>
      <x:c r="Q23" s="16">
        <x:v>1</x:v>
      </x:c>
    </x:row>
    <x:row r="24" spans="1:17" ht="23.100000000000001" customHeight="1">
      <x:c r="A24" s="23" t="s">
        <x:v>182</x:v>
      </x:c>
      <x:c r="B24" s="23" t="s">
        <x:v>24</x:v>
      </x:c>
      <x:c r="C24" s="24" t="s">
        <x:v>211</x:v>
      </x:c>
      <x:c r="D24" s="26">
        <x:v>0.089999999999999991</x:v>
      </x:c>
      <x:c r="E24" s="26">
        <x:f>자재단가대비표!N41</x:f>
        <x:v>3090</x:v>
      </x:c>
      <x:c r="F24" s="26">
        <x:f>ROUNDDOWN(D24*E24,1)</x:f>
        <x:v>278.10000000000002</x:v>
      </x:c>
      <x:c r="G24" s="26"/>
      <x:c r="H24" s="26"/>
      <x:c r="I24" s="26"/>
      <x:c r="J24" s="26"/>
      <x:c r="K24" s="26">
        <x:f>E24+G24+I24</x:f>
        <x:v>3090</x:v>
      </x:c>
      <x:c r="L24" s="26">
        <x:f>F24+H24+J24</x:f>
        <x:v>278.10000000000002</x:v>
      </x:c>
      <x:c r="M24" s="28"/>
      <x:c r="O24" s="20" t="s">
        <x:v>159</x:v>
      </x:c>
      <x:c r="P24" s="20" t="s">
        <x:v>342</x:v>
      </x:c>
      <x:c r="Q24" s="16">
        <x:v>1</x:v>
      </x:c>
    </x:row>
    <x:row r="25" spans="1:17" ht="23.100000000000001" customHeight="1">
      <x:c r="A25" s="23" t="s">
        <x:v>187</x:v>
      </x:c>
      <x:c r="B25" s="23" t="s">
        <x:v>30</x:v>
      </x:c>
      <x:c r="C25" s="24" t="s">
        <x:v>188</x:v>
      </x:c>
      <x:c r="D25" s="26">
        <x:v>0.75</x:v>
      </x:c>
      <x:c r="E25" s="26">
        <x:f>자재단가대비표!N32</x:f>
        <x:v>200</x:v>
      </x:c>
      <x:c r="F25" s="26">
        <x:f>ROUNDDOWN(D25*E25,1)</x:f>
        <x:v>150</x:v>
      </x:c>
      <x:c r="G25" s="26"/>
      <x:c r="H25" s="26"/>
      <x:c r="I25" s="26"/>
      <x:c r="J25" s="26"/>
      <x:c r="K25" s="26">
        <x:f>E25+G25+I25</x:f>
        <x:v>200</x:v>
      </x:c>
      <x:c r="L25" s="26">
        <x:f>F25+H25+J25</x:f>
        <x:v>150</x:v>
      </x:c>
      <x:c r="M25" s="28"/>
      <x:c r="O25" s="20" t="s">
        <x:v>159</x:v>
      </x:c>
      <x:c r="P25" s="20" t="s">
        <x:v>342</x:v>
      </x:c>
      <x:c r="Q25" s="16">
        <x:v>1</x:v>
      </x:c>
    </x:row>
    <x:row r="26" spans="1:17" ht="23.100000000000001" customHeight="1">
      <x:c r="A26" s="23" t="s">
        <x:v>176</x:v>
      </x:c>
      <x:c r="B26" s="23" t="s">
        <x:v>220</x:v>
      </x:c>
      <x:c r="C26" s="24" t="s">
        <x:v>177</x:v>
      </x:c>
      <x:c r="D26" s="26">
        <x:v>0.046499999999999997</x:v>
      </x:c>
      <x:c r="E26" s="26"/>
      <x:c r="F26" s="26"/>
      <x:c r="G26" s="26">
        <x:f>자재단가대비표!N44</x:f>
        <x:v>122128</x:v>
      </x:c>
      <x:c r="H26" s="26">
        <x:f>ROUNDDOWN(D26*G26,1)</x:f>
        <x:v>5678.8999999999996</x:v>
      </x:c>
      <x:c r="I26" s="26"/>
      <x:c r="J26" s="26"/>
      <x:c r="K26" s="26">
        <x:f>E26+G26+I26</x:f>
        <x:v>122128</x:v>
      </x:c>
      <x:c r="L26" s="26">
        <x:f>F26+H26+J26</x:f>
        <x:v>5678.8999999999996</x:v>
      </x:c>
      <x:c r="M26" s="28"/>
      <x:c r="O26" s="20" t="s">
        <x:v>155</x:v>
      </x:c>
      <x:c r="P26" s="20" t="s">
        <x:v>342</x:v>
      </x:c>
      <x:c r="Q26" s="16">
        <x:v>1</x:v>
      </x:c>
    </x:row>
    <x:row r="27" spans="1:17" ht="23.100000000000001" customHeight="1">
      <x:c r="A27" s="23" t="s">
        <x:v>314</x:v>
      </x:c>
      <x:c r="B27" s="23" t="s">
        <x:v>220</x:v>
      </x:c>
      <x:c r="C27" s="24" t="s">
        <x:v>177</x:v>
      </x:c>
      <x:c r="D27" s="26">
        <x:v>0.010500000000000001</x:v>
      </x:c>
      <x:c r="E27" s="26"/>
      <x:c r="F27" s="26"/>
      <x:c r="G27" s="26">
        <x:f>자재단가대비표!N47</x:f>
        <x:v>87805</x:v>
      </x:c>
      <x:c r="H27" s="26">
        <x:f>ROUNDDOWN(D27*G27,1)</x:f>
        <x:v>921.89999999999998</x:v>
      </x:c>
      <x:c r="I27" s="26"/>
      <x:c r="J27" s="26"/>
      <x:c r="K27" s="26">
        <x:f>E27+G27+I27</x:f>
        <x:v>87805</x:v>
      </x:c>
      <x:c r="L27" s="26">
        <x:f>F27+H27+J27</x:f>
        <x:v>921.89999999999998</x:v>
      </x:c>
      <x:c r="M27" s="28"/>
      <x:c r="O27" s="20" t="s">
        <x:v>155</x:v>
      </x:c>
      <x:c r="P27" s="20" t="s">
        <x:v>342</x:v>
      </x:c>
      <x:c r="Q27" s="16">
        <x:v>1</x:v>
      </x:c>
    </x:row>
    <x:row r="28" spans="1:13" ht="23.100000000000001" customHeight="1">
      <x:c r="A28" s="24" t="s">
        <x:v>344</x:v>
      </x:c>
      <x:c r="B28" s="29"/>
      <x:c r="C28" s="30"/>
      <x:c r="D28" s="31"/>
      <x:c r="E28" s="31"/>
      <x:c r="F28" s="32">
        <x:f>ROUNDDOWN(SUMIF($Q$21:$Q$27,1,$F$21:$F$27),0)</x:f>
        <x:v>1942</x:v>
      </x:c>
      <x:c r="G28" s="31"/>
      <x:c r="H28" s="32">
        <x:f>ROUNDDOWN(SUMIF($Q$21:$Q$27,1,$H$21:$H$27),0)</x:f>
        <x:v>7909</x:v>
      </x:c>
      <x:c r="I28" s="31"/>
      <x:c r="J28" s="32">
        <x:f>ROUNDDOWN(SUMIF($Q$21:$Q$27,1,$J$21:$J$27),0)</x:f>
        <x:v>0</x:v>
      </x:c>
      <x:c r="K28" s="31"/>
      <x:c r="L28" s="32">
        <x:f>F28+H28+J28</x:f>
        <x:v>9851</x:v>
      </x:c>
      <x:c r="M28" s="28"/>
    </x:row>
    <x:row r="29" spans="1:13" ht="23.100000000000001" customHeight="1">
      <x:c r="A29" s="23" t="s">
        <x:v>519</x:v>
      </x:c>
      <x:c r="B29" s="23" t="s">
        <x:v>48</x:v>
      </x:c>
      <x:c r="C29" s="24" t="s">
        <x:v>100</x:v>
      </x:c>
      <x:c r="D29" s="26"/>
      <x:c r="E29" s="26"/>
      <x:c r="F29" s="26"/>
      <x:c r="G29" s="26"/>
      <x:c r="H29" s="26"/>
      <x:c r="I29" s="26"/>
      <x:c r="J29" s="26"/>
      <x:c r="K29" s="26"/>
      <x:c r="L29" s="26"/>
      <x:c r="M29" s="27" t="s">
        <x:v>49</x:v>
      </x:c>
    </x:row>
    <x:row r="30" spans="1:17" ht="23.100000000000001" customHeight="1">
      <x:c r="A30" s="23" t="s">
        <x:v>182</x:v>
      </x:c>
      <x:c r="B30" s="23" t="s">
        <x:v>24</x:v>
      </x:c>
      <x:c r="C30" s="24" t="s">
        <x:v>211</x:v>
      </x:c>
      <x:c r="D30" s="26">
        <x:v>0.05</x:v>
      </x:c>
      <x:c r="E30" s="26">
        <x:f>자재단가대비표!N41</x:f>
        <x:v>3090</x:v>
      </x:c>
      <x:c r="F30" s="26">
        <x:f>ROUNDDOWN(D30*E30,1)</x:f>
        <x:v>154.5</x:v>
      </x:c>
      <x:c r="G30" s="26"/>
      <x:c r="H30" s="26"/>
      <x:c r="I30" s="26"/>
      <x:c r="J30" s="26"/>
      <x:c r="K30" s="26">
        <x:f>E30+G30+I30</x:f>
        <x:v>3090</x:v>
      </x:c>
      <x:c r="L30" s="26">
        <x:f>F30+H30+J30</x:f>
        <x:v>154.5</x:v>
      </x:c>
      <x:c r="M30" s="28"/>
      <x:c r="O30" s="20" t="s">
        <x:v>159</x:v>
      </x:c>
      <x:c r="P30" s="20" t="s">
        <x:v>342</x:v>
      </x:c>
      <x:c r="Q30" s="16">
        <x:v>1</x:v>
      </x:c>
    </x:row>
    <x:row r="31" spans="1:17" ht="23.100000000000001" customHeight="1">
      <x:c r="A31" s="23" t="s">
        <x:v>187</x:v>
      </x:c>
      <x:c r="B31" s="23" t="s">
        <x:v>30</x:v>
      </x:c>
      <x:c r="C31" s="24" t="s">
        <x:v>188</x:v>
      </x:c>
      <x:c r="D31" s="26">
        <x:v>0.10000000000000001</x:v>
      </x:c>
      <x:c r="E31" s="26">
        <x:f>자재단가대비표!N32</x:f>
        <x:v>200</x:v>
      </x:c>
      <x:c r="F31" s="26">
        <x:f>ROUNDDOWN(D31*E31,1)</x:f>
        <x:v>20</x:v>
      </x:c>
      <x:c r="G31" s="26"/>
      <x:c r="H31" s="26"/>
      <x:c r="I31" s="26"/>
      <x:c r="J31" s="26"/>
      <x:c r="K31" s="26">
        <x:f>E31+G31+I31</x:f>
        <x:v>200</x:v>
      </x:c>
      <x:c r="L31" s="26">
        <x:f>F31+H31+J31</x:f>
        <x:v>20</x:v>
      </x:c>
      <x:c r="M31" s="28"/>
      <x:c r="O31" s="20" t="s">
        <x:v>159</x:v>
      </x:c>
      <x:c r="P31" s="20" t="s">
        <x:v>342</x:v>
      </x:c>
      <x:c r="Q31" s="16">
        <x:v>1</x:v>
      </x:c>
    </x:row>
    <x:row r="32" spans="1:17" ht="23.100000000000001" customHeight="1">
      <x:c r="A32" s="23" t="s">
        <x:v>176</x:v>
      </x:c>
      <x:c r="B32" s="23" t="s">
        <x:v>220</x:v>
      </x:c>
      <x:c r="C32" s="24" t="s">
        <x:v>177</x:v>
      </x:c>
      <x:c r="D32" s="26">
        <x:v>0.010000000000000001</x:v>
      </x:c>
      <x:c r="E32" s="26"/>
      <x:c r="F32" s="26"/>
      <x:c r="G32" s="26">
        <x:f>자재단가대비표!N44</x:f>
        <x:v>122128</x:v>
      </x:c>
      <x:c r="H32" s="26">
        <x:f>ROUNDDOWN(D32*G32,1)</x:f>
        <x:v>1221.2</x:v>
      </x:c>
      <x:c r="I32" s="26"/>
      <x:c r="J32" s="26"/>
      <x:c r="K32" s="26">
        <x:f>E32+G32+I32</x:f>
        <x:v>122128</x:v>
      </x:c>
      <x:c r="L32" s="26">
        <x:f>F32+H32+J32</x:f>
        <x:v>1221.2</x:v>
      </x:c>
      <x:c r="M32" s="28"/>
      <x:c r="O32" s="20" t="s">
        <x:v>155</x:v>
      </x:c>
      <x:c r="P32" s="20" t="s">
        <x:v>342</x:v>
      </x:c>
      <x:c r="Q32" s="16">
        <x:v>1</x:v>
      </x:c>
    </x:row>
    <x:row r="33" spans="1:17" ht="23.100000000000001" customHeight="1">
      <x:c r="A33" s="23" t="s">
        <x:v>314</x:v>
      </x:c>
      <x:c r="B33" s="23" t="s">
        <x:v>220</x:v>
      </x:c>
      <x:c r="C33" s="24" t="s">
        <x:v>177</x:v>
      </x:c>
      <x:c r="D33" s="26">
        <x:v>0.0010000000000000001</x:v>
      </x:c>
      <x:c r="E33" s="26"/>
      <x:c r="F33" s="26"/>
      <x:c r="G33" s="26">
        <x:f>자재단가대비표!N47</x:f>
        <x:v>87805</x:v>
      </x:c>
      <x:c r="H33" s="26">
        <x:f>ROUNDDOWN(D33*G33,1)</x:f>
        <x:v>87.799999999999997</x:v>
      </x:c>
      <x:c r="I33" s="26"/>
      <x:c r="J33" s="26"/>
      <x:c r="K33" s="26">
        <x:f>E33+G33+I33</x:f>
        <x:v>87805</x:v>
      </x:c>
      <x:c r="L33" s="26">
        <x:f>F33+H33+J33</x:f>
        <x:v>87.799999999999997</x:v>
      </x:c>
      <x:c r="M33" s="28"/>
      <x:c r="O33" s="20" t="s">
        <x:v>155</x:v>
      </x:c>
      <x:c r="P33" s="20" t="s">
        <x:v>342</x:v>
      </x:c>
      <x:c r="Q33" s="16">
        <x:v>1</x:v>
      </x:c>
    </x:row>
    <x:row r="34" spans="1:13" ht="23.100000000000001" customHeight="1">
      <x:c r="A34" s="24" t="s">
        <x:v>344</x:v>
      </x:c>
      <x:c r="B34" s="29"/>
      <x:c r="C34" s="30"/>
      <x:c r="D34" s="31"/>
      <x:c r="E34" s="31"/>
      <x:c r="F34" s="32">
        <x:f>ROUNDDOWN(SUMIF($Q$30:$Q$33,1,$F$30:$F$33),0)</x:f>
        <x:v>174</x:v>
      </x:c>
      <x:c r="G34" s="31"/>
      <x:c r="H34" s="32">
        <x:f>ROUNDDOWN(SUMIF($Q$30:$Q$33,1,$H$30:$H$33),0)</x:f>
        <x:v>1309</x:v>
      </x:c>
      <x:c r="I34" s="31"/>
      <x:c r="J34" s="32">
        <x:f>ROUNDDOWN(SUMIF($Q$30:$Q$33,1,$J$30:$J$33),0)</x:f>
        <x:v>0</x:v>
      </x:c>
      <x:c r="K34" s="31"/>
      <x:c r="L34" s="32">
        <x:f>F34+H34+J34</x:f>
        <x:v>1483</x:v>
      </x:c>
      <x:c r="M34" s="28"/>
    </x:row>
    <x:row r="35" spans="1:13" ht="23.100000000000001" customHeight="1">
      <x:c r="A35" s="23" t="s">
        <x:v>245</x:v>
      </x:c>
      <x:c r="B35" s="23" t="s">
        <x:v>365</x:v>
      </x:c>
      <x:c r="C35" s="24" t="s">
        <x:v>100</x:v>
      </x:c>
      <x:c r="D35" s="26"/>
      <x:c r="E35" s="26"/>
      <x:c r="F35" s="26"/>
      <x:c r="G35" s="26"/>
      <x:c r="H35" s="26"/>
      <x:c r="I35" s="26"/>
      <x:c r="J35" s="26"/>
      <x:c r="K35" s="26"/>
      <x:c r="L35" s="26"/>
      <x:c r="M35" s="27" t="s">
        <x:v>220</x:v>
      </x:c>
    </x:row>
    <x:row r="36" spans="1:17" ht="23.100000000000001" customHeight="1">
      <x:c r="A36" s="23" t="s">
        <x:v>364</x:v>
      </x:c>
      <x:c r="B36" s="23" t="s">
        <x:v>48</x:v>
      </x:c>
      <x:c r="C36" s="24" t="s">
        <x:v>100</x:v>
      </x:c>
      <x:c r="D36" s="26">
        <x:v>1</x:v>
      </x:c>
      <x:c r="E36" s="26">
        <x:f>일위대가표!F34</x:f>
        <x:v>174</x:v>
      </x:c>
      <x:c r="F36" s="26">
        <x:f>ROUNDDOWN(D36*E36,1)</x:f>
        <x:v>174</x:v>
      </x:c>
      <x:c r="G36" s="26">
        <x:f>일위대가표!H34</x:f>
        <x:v>1309</x:v>
      </x:c>
      <x:c r="H36" s="26">
        <x:f>ROUNDDOWN(D36*G36,1)</x:f>
        <x:v>1309</x:v>
      </x:c>
      <x:c r="I36" s="26"/>
      <x:c r="J36" s="26"/>
      <x:c r="K36" s="26">
        <x:f>E36+G36+I36</x:f>
        <x:v>1483</x:v>
      </x:c>
      <x:c r="L36" s="26">
        <x:f>F36+H36+J36</x:f>
        <x:v>1483</x:v>
      </x:c>
      <x:c r="M36" s="27" t="s">
        <x:v>363</x:v>
      </x:c>
      <x:c r="P36" s="20" t="s">
        <x:v>342</x:v>
      </x:c>
      <x:c r="Q36" s="16">
        <x:v>1</x:v>
      </x:c>
    </x:row>
    <x:row r="37" spans="1:17" ht="23.100000000000001" customHeight="1">
      <x:c r="A37" s="23" t="s">
        <x:v>300</x:v>
      </x:c>
      <x:c r="B37" s="23" t="s">
        <x:v>534</x:v>
      </x:c>
      <x:c r="C37" s="24" t="s">
        <x:v>208</x:v>
      </x:c>
      <x:c r="D37" s="26">
        <x:v>0.39000000000000001</x:v>
      </x:c>
      <x:c r="E37" s="26">
        <x:f>자재단가대비표!N29</x:f>
        <x:v>7338</x:v>
      </x:c>
      <x:c r="F37" s="26">
        <x:f>ROUNDDOWN(D37*E37,1)</x:f>
        <x:v>2861.8000000000002</x:v>
      </x:c>
      <x:c r="G37" s="26"/>
      <x:c r="H37" s="26"/>
      <x:c r="I37" s="26"/>
      <x:c r="J37" s="26"/>
      <x:c r="K37" s="26">
        <x:f>E37+G37+I37</x:f>
        <x:v>7338</x:v>
      </x:c>
      <x:c r="L37" s="26">
        <x:f>F37+H37+J37</x:f>
        <x:v>2861.8000000000002</x:v>
      </x:c>
      <x:c r="M37" s="28"/>
      <x:c r="O37" s="20" t="s">
        <x:v>159</x:v>
      </x:c>
      <x:c r="P37" s="20" t="s">
        <x:v>342</x:v>
      </x:c>
      <x:c r="Q37" s="16">
        <x:v>1</x:v>
      </x:c>
    </x:row>
    <x:row r="38" spans="1:17" ht="23.100000000000001" customHeight="1">
      <x:c r="A38" s="23" t="s">
        <x:v>193</x:v>
      </x:c>
      <x:c r="B38" s="23" t="s">
        <x:v>242</x:v>
      </x:c>
      <x:c r="C38" s="24" t="s">
        <x:v>208</x:v>
      </x:c>
      <x:c r="D38" s="26">
        <x:v>0.075</x:v>
      </x:c>
      <x:c r="E38" s="26">
        <x:f>자재단가대비표!N26</x:f>
        <x:v>1777</x:v>
      </x:c>
      <x:c r="F38" s="26">
        <x:f>ROUNDDOWN(D38*E38,1)</x:f>
        <x:v>133.19999999999999</x:v>
      </x:c>
      <x:c r="G38" s="26"/>
      <x:c r="H38" s="26"/>
      <x:c r="I38" s="26"/>
      <x:c r="J38" s="26"/>
      <x:c r="K38" s="26">
        <x:f>E38+G38+I38</x:f>
        <x:v>1777</x:v>
      </x:c>
      <x:c r="L38" s="26">
        <x:f>F38+H38+J38</x:f>
        <x:v>133.19999999999999</x:v>
      </x:c>
      <x:c r="M38" s="28"/>
      <x:c r="O38" s="20" t="s">
        <x:v>159</x:v>
      </x:c>
      <x:c r="P38" s="20" t="s">
        <x:v>342</x:v>
      </x:c>
      <x:c r="Q38" s="16">
        <x:v>1</x:v>
      </x:c>
    </x:row>
    <x:row r="39" spans="1:17" ht="23.100000000000001" customHeight="1">
      <x:c r="A39" s="23" t="s">
        <x:v>182</x:v>
      </x:c>
      <x:c r="B39" s="23" t="s">
        <x:v>23</x:v>
      </x:c>
      <x:c r="C39" s="24" t="s">
        <x:v>211</x:v>
      </x:c>
      <x:c r="D39" s="26">
        <x:v>0.089999999999999991</x:v>
      </x:c>
      <x:c r="E39" s="26">
        <x:f>자재단가대비표!N40</x:f>
        <x:v>3090</x:v>
      </x:c>
      <x:c r="F39" s="26">
        <x:f>ROUNDDOWN(D39*E39,1)</x:f>
        <x:v>278.10000000000002</x:v>
      </x:c>
      <x:c r="G39" s="26"/>
      <x:c r="H39" s="26"/>
      <x:c r="I39" s="26"/>
      <x:c r="J39" s="26"/>
      <x:c r="K39" s="26">
        <x:f>E39+G39+I39</x:f>
        <x:v>3090</x:v>
      </x:c>
      <x:c r="L39" s="26">
        <x:f>F39+H39+J39</x:f>
        <x:v>278.10000000000002</x:v>
      </x:c>
      <x:c r="M39" s="28"/>
      <x:c r="O39" s="20" t="s">
        <x:v>159</x:v>
      </x:c>
      <x:c r="P39" s="20" t="s">
        <x:v>342</x:v>
      </x:c>
      <x:c r="Q39" s="16">
        <x:v>1</x:v>
      </x:c>
    </x:row>
    <x:row r="40" spans="1:17" ht="23.100000000000001" customHeight="1">
      <x:c r="A40" s="23" t="s">
        <x:v>187</x:v>
      </x:c>
      <x:c r="B40" s="23" t="s">
        <x:v>30</x:v>
      </x:c>
      <x:c r="C40" s="24" t="s">
        <x:v>188</x:v>
      </x:c>
      <x:c r="D40" s="26">
        <x:v>0.75</x:v>
      </x:c>
      <x:c r="E40" s="26">
        <x:f>자재단가대비표!N32</x:f>
        <x:v>200</x:v>
      </x:c>
      <x:c r="F40" s="26">
        <x:f>ROUNDDOWN(D40*E40,1)</x:f>
        <x:v>150</x:v>
      </x:c>
      <x:c r="G40" s="26"/>
      <x:c r="H40" s="26"/>
      <x:c r="I40" s="26"/>
      <x:c r="J40" s="26"/>
      <x:c r="K40" s="26">
        <x:f>E40+G40+I40</x:f>
        <x:v>200</x:v>
      </x:c>
      <x:c r="L40" s="26">
        <x:f>F40+H40+J40</x:f>
        <x:v>150</x:v>
      </x:c>
      <x:c r="M40" s="28"/>
      <x:c r="O40" s="20" t="s">
        <x:v>159</x:v>
      </x:c>
      <x:c r="P40" s="20" t="s">
        <x:v>342</x:v>
      </x:c>
      <x:c r="Q40" s="16">
        <x:v>1</x:v>
      </x:c>
    </x:row>
    <x:row r="41" spans="1:17" ht="23.100000000000001" customHeight="1">
      <x:c r="A41" s="23" t="s">
        <x:v>176</x:v>
      </x:c>
      <x:c r="B41" s="23" t="s">
        <x:v>220</x:v>
      </x:c>
      <x:c r="C41" s="24" t="s">
        <x:v>177</x:v>
      </x:c>
      <x:c r="D41" s="26">
        <x:v>0.10050000000000001</x:v>
      </x:c>
      <x:c r="E41" s="26"/>
      <x:c r="F41" s="26"/>
      <x:c r="G41" s="26">
        <x:f>자재단가대비표!N44</x:f>
        <x:v>122128</x:v>
      </x:c>
      <x:c r="H41" s="26">
        <x:f>ROUNDDOWN(D41*G41,1)</x:f>
        <x:v>12273.799999999999</x:v>
      </x:c>
      <x:c r="I41" s="26"/>
      <x:c r="J41" s="26"/>
      <x:c r="K41" s="26">
        <x:f>E41+G41+I41</x:f>
        <x:v>122128</x:v>
      </x:c>
      <x:c r="L41" s="26">
        <x:f>F41+H41+J41</x:f>
        <x:v>12273.799999999999</x:v>
      </x:c>
      <x:c r="M41" s="28"/>
      <x:c r="O41" s="20" t="s">
        <x:v>155</x:v>
      </x:c>
      <x:c r="P41" s="20" t="s">
        <x:v>342</x:v>
      </x:c>
      <x:c r="Q41" s="16">
        <x:v>1</x:v>
      </x:c>
    </x:row>
    <x:row r="42" spans="1:17" ht="23.100000000000001" customHeight="1">
      <x:c r="A42" s="23" t="s">
        <x:v>314</x:v>
      </x:c>
      <x:c r="B42" s="23" t="s">
        <x:v>220</x:v>
      </x:c>
      <x:c r="C42" s="24" t="s">
        <x:v>177</x:v>
      </x:c>
      <x:c r="D42" s="26">
        <x:v>0.016500000000000001</x:v>
      </x:c>
      <x:c r="E42" s="26"/>
      <x:c r="F42" s="26"/>
      <x:c r="G42" s="26">
        <x:f>자재단가대비표!N47</x:f>
        <x:v>87805</x:v>
      </x:c>
      <x:c r="H42" s="26">
        <x:f>ROUNDDOWN(D42*G42,1)</x:f>
        <x:v>1448.7</x:v>
      </x:c>
      <x:c r="I42" s="26"/>
      <x:c r="J42" s="26"/>
      <x:c r="K42" s="26">
        <x:f>E42+G42+I42</x:f>
        <x:v>87805</x:v>
      </x:c>
      <x:c r="L42" s="26">
        <x:f>F42+H42+J42</x:f>
        <x:v>1448.7</x:v>
      </x:c>
      <x:c r="M42" s="28"/>
      <x:c r="O42" s="20" t="s">
        <x:v>155</x:v>
      </x:c>
      <x:c r="P42" s="20" t="s">
        <x:v>342</x:v>
      </x:c>
      <x:c r="Q42" s="16">
        <x:v>1</x:v>
      </x:c>
    </x:row>
    <x:row r="43" spans="1:13" ht="23.100000000000001" customHeight="1">
      <x:c r="A43" s="24" t="s">
        <x:v>344</x:v>
      </x:c>
      <x:c r="B43" s="29"/>
      <x:c r="C43" s="30"/>
      <x:c r="D43" s="31"/>
      <x:c r="E43" s="31"/>
      <x:c r="F43" s="32">
        <x:f>ROUNDDOWN(SUMIF($Q$36:$Q$42,1,$F$36:$F$42),0)</x:f>
        <x:v>3597</x:v>
      </x:c>
      <x:c r="G43" s="31"/>
      <x:c r="H43" s="32">
        <x:f>ROUNDDOWN(SUMIF($Q$36:$Q$42,1,$H$36:$H$42),0)</x:f>
        <x:v>15031</x:v>
      </x:c>
      <x:c r="I43" s="31"/>
      <x:c r="J43" s="32">
        <x:f>ROUNDDOWN(SUMIF($Q$36:$Q$42,1,$J$36:$J$42),0)</x:f>
        <x:v>0</x:v>
      </x:c>
      <x:c r="K43" s="31"/>
      <x:c r="L43" s="32">
        <x:f>F43+H43+J43</x:f>
        <x:v>18628</x:v>
      </x:c>
      <x:c r="M43" s="28"/>
    </x:row>
    <x:row r="44" spans="1:13" ht="23.100000000000001" customHeight="1">
      <x:c r="A44" s="23" t="s">
        <x:v>538</x:v>
      </x:c>
      <x:c r="B44" s="23" t="s">
        <x:v>368</x:v>
      </x:c>
      <x:c r="C44" s="24" t="s">
        <x:v>216</x:v>
      </x:c>
      <x:c r="D44" s="26"/>
      <x:c r="E44" s="26"/>
      <x:c r="F44" s="26"/>
      <x:c r="G44" s="26"/>
      <x:c r="H44" s="26"/>
      <x:c r="I44" s="26"/>
      <x:c r="J44" s="26"/>
      <x:c r="K44" s="26"/>
      <x:c r="L44" s="26"/>
      <x:c r="M44" s="27" t="s">
        <x:v>220</x:v>
      </x:c>
    </x:row>
    <x:row r="45" spans="1:17" ht="23.100000000000001" customHeight="1">
      <x:c r="A45" s="23" t="s">
        <x:v>50</x:v>
      </x:c>
      <x:c r="B45" s="23" t="s">
        <x:v>539</x:v>
      </x:c>
      <x:c r="C45" s="24" t="s">
        <x:v>100</x:v>
      </x:c>
      <x:c r="D45" s="26">
        <x:v>1.8600000000000001</x:v>
      </x:c>
      <x:c r="E45" s="26">
        <x:f>일위대가표!F52</x:f>
        <x:v>1867</x:v>
      </x:c>
      <x:c r="F45" s="26">
        <x:f>ROUNDDOWN(D45*E45,1)</x:f>
        <x:v>3472.5999999999999</x:v>
      </x:c>
      <x:c r="G45" s="26">
        <x:f>일위대가표!H52</x:f>
        <x:v>1514</x:v>
      </x:c>
      <x:c r="H45" s="26">
        <x:f>ROUNDDOWN(D45*G45,1)</x:f>
        <x:v>2816</x:v>
      </x:c>
      <x:c r="I45" s="26">
        <x:f>일위대가표!J52</x:f>
        <x:v>48</x:v>
      </x:c>
      <x:c r="J45" s="26">
        <x:f>ROUNDDOWN(D45*I45,1)</x:f>
        <x:v>89.200000000000003</x:v>
      </x:c>
      <x:c r="K45" s="26">
        <x:f>E45+G45+I45</x:f>
        <x:v>3429</x:v>
      </x:c>
      <x:c r="L45" s="26">
        <x:f>F45+H45+J45</x:f>
        <x:v>6377.8000000000002</x:v>
      </x:c>
      <x:c r="M45" s="27" t="s">
        <x:v>367</x:v>
      </x:c>
      <x:c r="P45" s="20" t="s">
        <x:v>342</x:v>
      </x:c>
      <x:c r="Q45" s="16">
        <x:v>1</x:v>
      </x:c>
    </x:row>
    <x:row r="46" spans="1:17" ht="23.100000000000001" customHeight="1">
      <x:c r="A46" s="23" t="s">
        <x:v>51</x:v>
      </x:c>
      <x:c r="B46" s="23" t="s">
        <x:v>52</x:v>
      </x:c>
      <x:c r="C46" s="24" t="s">
        <x:v>100</x:v>
      </x:c>
      <x:c r="D46" s="26">
        <x:v>1.8600000000000001</x:v>
      </x:c>
      <x:c r="E46" s="26">
        <x:f>일위대가표!F76</x:f>
        <x:v>879</x:v>
      </x:c>
      <x:c r="F46" s="26">
        <x:f>ROUNDDOWN(D46*E46,1)</x:f>
        <x:v>1634.9000000000001</x:v>
      </x:c>
      <x:c r="G46" s="26">
        <x:f>일위대가표!H76</x:f>
        <x:v>4591</x:v>
      </x:c>
      <x:c r="H46" s="26">
        <x:f>ROUNDDOWN(D46*G46,1)</x:f>
        <x:v>8539.2000000000007</x:v>
      </x:c>
      <x:c r="I46" s="26"/>
      <x:c r="J46" s="26"/>
      <x:c r="K46" s="26">
        <x:f>E46+G46+I46</x:f>
        <x:v>5470</x:v>
      </x:c>
      <x:c r="L46" s="26">
        <x:f>F46+H46+J46</x:f>
        <x:v>10174.1</x:v>
      </x:c>
      <x:c r="M46" s="27" t="s">
        <x:v>370</x:v>
      </x:c>
      <x:c r="P46" s="20" t="s">
        <x:v>342</x:v>
      </x:c>
      <x:c r="Q46" s="16">
        <x:v>1</x:v>
      </x:c>
    </x:row>
    <x:row r="47" spans="1:13" ht="23.100000000000001" customHeight="1">
      <x:c r="A47" s="24" t="s">
        <x:v>344</x:v>
      </x:c>
      <x:c r="B47" s="29"/>
      <x:c r="C47" s="30"/>
      <x:c r="D47" s="31"/>
      <x:c r="E47" s="31"/>
      <x:c r="F47" s="32">
        <x:f>ROUNDDOWN(SUMIF($Q$45:$Q$46,1,$F$45:$F$46),0)</x:f>
        <x:v>5107</x:v>
      </x:c>
      <x:c r="G47" s="31"/>
      <x:c r="H47" s="32">
        <x:f>ROUNDDOWN(SUMIF($Q$45:$Q$46,1,$H$45:$H$46),0)</x:f>
        <x:v>11355</x:v>
      </x:c>
      <x:c r="I47" s="31"/>
      <x:c r="J47" s="32">
        <x:f>ROUNDDOWN(SUMIF($Q$45:$Q$46,1,$J$45:$J$46),0)</x:f>
        <x:v>89</x:v>
      </x:c>
      <x:c r="K47" s="31"/>
      <x:c r="L47" s="32">
        <x:f>F47+H47+J47</x:f>
        <x:v>16551</x:v>
      </x:c>
      <x:c r="M47" s="28"/>
    </x:row>
    <x:row r="48" spans="1:13" ht="23.100000000000001" customHeight="1">
      <x:c r="A48" s="23" t="s">
        <x:v>248</x:v>
      </x:c>
      <x:c r="B48" s="23" t="s">
        <x:v>539</x:v>
      </x:c>
      <x:c r="C48" s="24" t="s">
        <x:v>100</x:v>
      </x:c>
      <x:c r="D48" s="26"/>
      <x:c r="E48" s="26"/>
      <x:c r="F48" s="26"/>
      <x:c r="G48" s="26"/>
      <x:c r="H48" s="26"/>
      <x:c r="I48" s="26"/>
      <x:c r="J48" s="26"/>
      <x:c r="K48" s="26"/>
      <x:c r="L48" s="26"/>
      <x:c r="M48" s="27" t="s">
        <x:v>53</x:v>
      </x:c>
    </x:row>
    <x:row r="49" spans="1:17" ht="23.100000000000001" customHeight="1">
      <x:c r="A49" s="23" t="s">
        <x:v>369</x:v>
      </x:c>
      <x:c r="B49" s="23" t="s">
        <x:v>518</x:v>
      </x:c>
      <x:c r="C49" s="24" t="s">
        <x:v>205</x:v>
      </x:c>
      <x:c r="D49" s="26">
        <x:v>0.023999999999999999</x:v>
      </x:c>
      <x:c r="E49" s="26">
        <x:f>일위대가표!F57</x:f>
        <x:v>77320</x:v>
      </x:c>
      <x:c r="F49" s="26">
        <x:f>ROUNDDOWN(D49*E49,1)</x:f>
        <x:v>1855.5999999999999</x:v>
      </x:c>
      <x:c r="G49" s="26">
        <x:f>일위대가표!H57</x:f>
        <x:v>37668</x:v>
      </x:c>
      <x:c r="H49" s="26">
        <x:f>ROUNDDOWN(D49*G49,1)</x:f>
        <x:v>904</x:v>
      </x:c>
      <x:c r="I49" s="26"/>
      <x:c r="J49" s="26"/>
      <x:c r="K49" s="26">
        <x:f>E49+G49+I49</x:f>
        <x:v>114988</x:v>
      </x:c>
      <x:c r="L49" s="26">
        <x:f>F49+H49+J49</x:f>
        <x:v>2759.5999999999999</x:v>
      </x:c>
      <x:c r="M49" s="27" t="s">
        <x:v>372</x:v>
      </x:c>
      <x:c r="P49" s="20" t="s">
        <x:v>342</x:v>
      </x:c>
      <x:c r="Q49" s="16">
        <x:v>1</x:v>
      </x:c>
    </x:row>
    <x:row r="50" spans="1:17" ht="23.100000000000001" customHeight="1">
      <x:c r="A50" s="23" t="s">
        <x:v>54</x:v>
      </x:c>
      <x:c r="B50" s="23" t="s">
        <x:v>371</x:v>
      </x:c>
      <x:c r="C50" s="24" t="s">
        <x:v>205</x:v>
      </x:c>
      <x:c r="D50" s="26">
        <x:v>0.023999999999999999</x:v>
      </x:c>
      <x:c r="E50" s="26">
        <x:f>일위대가표!F66</x:f>
        <x:v>501</x:v>
      </x:c>
      <x:c r="F50" s="26">
        <x:f>ROUNDDOWN(D50*E50,1)</x:f>
        <x:v>12</x:v>
      </x:c>
      <x:c r="G50" s="26">
        <x:f>일위대가표!H66</x:f>
        <x:v>11385</x:v>
      </x:c>
      <x:c r="H50" s="26">
        <x:f>ROUNDDOWN(D50*G50,1)</x:f>
        <x:v>273.19999999999999</x:v>
      </x:c>
      <x:c r="I50" s="26">
        <x:f>일위대가표!J66</x:f>
        <x:v>2004</x:v>
      </x:c>
      <x:c r="J50" s="26">
        <x:f>ROUNDDOWN(D50*I50,1)</x:f>
        <x:v>48</x:v>
      </x:c>
      <x:c r="K50" s="26">
        <x:f>E50+G50+I50</x:f>
        <x:v>13890</x:v>
      </x:c>
      <x:c r="L50" s="26">
        <x:f>F50+H50+J50</x:f>
        <x:v>333.19999999999999</x:v>
      </x:c>
      <x:c r="M50" s="27" t="s">
        <x:v>374</x:v>
      </x:c>
      <x:c r="P50" s="20" t="s">
        <x:v>342</x:v>
      </x:c>
      <x:c r="Q50" s="16">
        <x:v>1</x:v>
      </x:c>
    </x:row>
    <x:row r="51" spans="1:17" ht="23.100000000000001" customHeight="1">
      <x:c r="A51" s="23" t="s">
        <x:v>54</x:v>
      </x:c>
      <x:c r="B51" s="23" t="s">
        <x:v>517</x:v>
      </x:c>
      <x:c r="C51" s="24" t="s">
        <x:v>100</x:v>
      </x:c>
      <x:c r="D51" s="26">
        <x:v>1</x:v>
      </x:c>
      <x:c r="E51" s="26"/>
      <x:c r="F51" s="26"/>
      <x:c r="G51" s="26">
        <x:f>일위대가표!H69</x:f>
        <x:v>337</x:v>
      </x:c>
      <x:c r="H51" s="26">
        <x:f>ROUNDDOWN(D51*G51,1)</x:f>
        <x:v>337</x:v>
      </x:c>
      <x:c r="I51" s="26"/>
      <x:c r="J51" s="26"/>
      <x:c r="K51" s="26">
        <x:f>E51+G51+I51</x:f>
        <x:v>337</x:v>
      </x:c>
      <x:c r="L51" s="26">
        <x:f>F51+H51+J51</x:f>
        <x:v>337</x:v>
      </x:c>
      <x:c r="M51" s="27" t="s">
        <x:v>373</x:v>
      </x:c>
      <x:c r="P51" s="20" t="s">
        <x:v>342</x:v>
      </x:c>
      <x:c r="Q51" s="16">
        <x:v>1</x:v>
      </x:c>
    </x:row>
    <x:row r="52" spans="1:13" ht="23.100000000000001" customHeight="1">
      <x:c r="A52" s="24" t="s">
        <x:v>344</x:v>
      </x:c>
      <x:c r="B52" s="29"/>
      <x:c r="C52" s="30"/>
      <x:c r="D52" s="31"/>
      <x:c r="E52" s="31"/>
      <x:c r="F52" s="32">
        <x:f>ROUNDDOWN(SUMIF($Q$49:$Q$51,1,$F$49:$F$51),0)</x:f>
        <x:v>1867</x:v>
      </x:c>
      <x:c r="G52" s="31"/>
      <x:c r="H52" s="32">
        <x:f>ROUNDDOWN(SUMIF($Q$49:$Q$51,1,$H$49:$H$51),0)</x:f>
        <x:v>1514</x:v>
      </x:c>
      <x:c r="I52" s="31"/>
      <x:c r="J52" s="32">
        <x:f>ROUNDDOWN(SUMIF($Q$49:$Q$51,1,$J$49:$J$51),0)</x:f>
        <x:v>48</x:v>
      </x:c>
      <x:c r="K52" s="31"/>
      <x:c r="L52" s="32">
        <x:f>F52+H52+J52</x:f>
        <x:v>3429</x:v>
      </x:c>
      <x:c r="M52" s="28"/>
    </x:row>
    <x:row r="53" spans="1:13" ht="23.100000000000001" customHeight="1">
      <x:c r="A53" s="23" t="s">
        <x:v>516</x:v>
      </x:c>
      <x:c r="B53" s="23" t="s">
        <x:v>518</x:v>
      </x:c>
      <x:c r="C53" s="24" t="s">
        <x:v>205</x:v>
      </x:c>
      <x:c r="D53" s="26"/>
      <x:c r="E53" s="26"/>
      <x:c r="F53" s="26"/>
      <x:c r="G53" s="26"/>
      <x:c r="H53" s="26"/>
      <x:c r="I53" s="26"/>
      <x:c r="J53" s="26"/>
      <x:c r="K53" s="26"/>
      <x:c r="L53" s="26"/>
      <x:c r="M53" s="27" t="s">
        <x:v>55</x:v>
      </x:c>
    </x:row>
    <x:row r="54" spans="1:17" ht="23.100000000000001" customHeight="1">
      <x:c r="A54" s="23" t="s">
        <x:v>196</x:v>
      </x:c>
      <x:c r="B54" s="23" t="s">
        <x:v>32</x:v>
      </x:c>
      <x:c r="C54" s="24" t="s">
        <x:v>211</x:v>
      </x:c>
      <x:c r="D54" s="26">
        <x:v>510</x:v>
      </x:c>
      <x:c r="E54" s="26">
        <x:f>자재단가대비표!N24</x:f>
        <x:v>102</x:v>
      </x:c>
      <x:c r="F54" s="26">
        <x:f>ROUNDDOWN(D54*E54,1)</x:f>
        <x:v>52020</x:v>
      </x:c>
      <x:c r="G54" s="26"/>
      <x:c r="H54" s="26"/>
      <x:c r="I54" s="26"/>
      <x:c r="J54" s="26"/>
      <x:c r="K54" s="26">
        <x:f>E54+G54+I54</x:f>
        <x:v>102</x:v>
      </x:c>
      <x:c r="L54" s="26">
        <x:f>F54+H54+J54</x:f>
        <x:v>52020</x:v>
      </x:c>
      <x:c r="M54" s="28"/>
      <x:c r="O54" s="20" t="s">
        <x:v>159</x:v>
      </x:c>
      <x:c r="P54" s="20" t="s">
        <x:v>342</x:v>
      </x:c>
      <x:c r="Q54" s="16">
        <x:v>1</x:v>
      </x:c>
    </x:row>
    <x:row r="55" spans="1:17" ht="23.100000000000001" customHeight="1">
      <x:c r="A55" s="23" t="s">
        <x:v>206</x:v>
      </x:c>
      <x:c r="B55" s="23" t="s">
        <x:v>35</x:v>
      </x:c>
      <x:c r="C55" s="24" t="s">
        <x:v>205</x:v>
      </x:c>
      <x:c r="D55" s="26">
        <x:v>1.1000000000000001</x:v>
      </x:c>
      <x:c r="E55" s="26">
        <x:f>자재단가대비표!N14</x:f>
        <x:v>23000</x:v>
      </x:c>
      <x:c r="F55" s="26">
        <x:f>ROUNDDOWN(D55*E55,1)</x:f>
        <x:v>25300</x:v>
      </x:c>
      <x:c r="G55" s="26"/>
      <x:c r="H55" s="26"/>
      <x:c r="I55" s="26"/>
      <x:c r="J55" s="26"/>
      <x:c r="K55" s="26">
        <x:f>E55+G55+I55</x:f>
        <x:v>23000</x:v>
      </x:c>
      <x:c r="L55" s="26">
        <x:f>F55+H55+J55</x:f>
        <x:v>25300</x:v>
      </x:c>
      <x:c r="M55" s="28"/>
      <x:c r="O55" s="20" t="s">
        <x:v>159</x:v>
      </x:c>
      <x:c r="P55" s="20" t="s">
        <x:v>342</x:v>
      </x:c>
      <x:c r="Q55" s="16">
        <x:v>1</x:v>
      </x:c>
    </x:row>
    <x:row r="56" spans="1:17" ht="23.100000000000001" customHeight="1">
      <x:c r="A56" s="23" t="s">
        <x:v>314</x:v>
      </x:c>
      <x:c r="B56" s="23" t="s">
        <x:v>220</x:v>
      </x:c>
      <x:c r="C56" s="24" t="s">
        <x:v>177</x:v>
      </x:c>
      <x:c r="D56" s="26">
        <x:v>0.42899999999999999</x:v>
      </x:c>
      <x:c r="E56" s="26"/>
      <x:c r="F56" s="26"/>
      <x:c r="G56" s="26">
        <x:f>자재단가대비표!N47</x:f>
        <x:v>87805</x:v>
      </x:c>
      <x:c r="H56" s="26">
        <x:f>ROUNDDOWN(D56*G56,1)</x:f>
        <x:v>37668.300000000003</x:v>
      </x:c>
      <x:c r="I56" s="26"/>
      <x:c r="J56" s="26"/>
      <x:c r="K56" s="26">
        <x:f>E56+G56+I56</x:f>
        <x:v>87805</x:v>
      </x:c>
      <x:c r="L56" s="26">
        <x:f>F56+H56+J56</x:f>
        <x:v>37668.300000000003</x:v>
      </x:c>
      <x:c r="M56" s="28"/>
      <x:c r="O56" s="20" t="s">
        <x:v>155</x:v>
      </x:c>
      <x:c r="P56" s="20" t="s">
        <x:v>342</x:v>
      </x:c>
      <x:c r="Q56" s="16">
        <x:v>1</x:v>
      </x:c>
    </x:row>
    <x:row r="57" spans="1:13" ht="23.100000000000001" customHeight="1">
      <x:c r="A57" s="24" t="s">
        <x:v>344</x:v>
      </x:c>
      <x:c r="B57" s="29"/>
      <x:c r="C57" s="30"/>
      <x:c r="D57" s="31"/>
      <x:c r="E57" s="31"/>
      <x:c r="F57" s="32">
        <x:f>ROUNDDOWN(SUMIF($Q$54:$Q$56,1,$F$54:$F$56),0)</x:f>
        <x:v>77320</x:v>
      </x:c>
      <x:c r="G57" s="31"/>
      <x:c r="H57" s="32">
        <x:f>ROUNDDOWN(SUMIF($Q$54:$Q$56,1,$H$54:$H$56),0)</x:f>
        <x:v>37668</x:v>
      </x:c>
      <x:c r="I57" s="31"/>
      <x:c r="J57" s="32">
        <x:f>ROUNDDOWN(SUMIF($Q$54:$Q$56,1,$J$54:$J$56),0)</x:f>
        <x:v>0</x:v>
      </x:c>
      <x:c r="K57" s="31"/>
      <x:c r="L57" s="32">
        <x:f>F57+H57+J57</x:f>
        <x:v>114988</x:v>
      </x:c>
      <x:c r="M57" s="28"/>
    </x:row>
    <x:row r="58" spans="1:13" ht="23.100000000000001" customHeight="1">
      <x:c r="A58" s="23" t="s">
        <x:v>247</x:v>
      </x:c>
      <x:c r="B58" s="23" t="s">
        <x:v>371</x:v>
      </x:c>
      <x:c r="C58" s="24" t="s">
        <x:v>205</x:v>
      </x:c>
      <x:c r="D58" s="26"/>
      <x:c r="E58" s="26"/>
      <x:c r="F58" s="26"/>
      <x:c r="G58" s="26"/>
      <x:c r="H58" s="26"/>
      <x:c r="I58" s="26"/>
      <x:c r="J58" s="26"/>
      <x:c r="K58" s="26"/>
      <x:c r="L58" s="26"/>
      <x:c r="M58" s="27" t="s">
        <x:v>515</x:v>
      </x:c>
    </x:row>
    <x:row r="59" spans="1:17" ht="23.100000000000001" customHeight="1">
      <x:c r="A59" s="23" t="s">
        <x:v>317</x:v>
      </x:c>
      <x:c r="B59" s="23" t="s">
        <x:v>220</x:v>
      </x:c>
      <x:c r="C59" s="24" t="s">
        <x:v>177</x:v>
      </x:c>
      <x:c r="D59" s="26">
        <x:v>0.020000000000000001</x:v>
      </x:c>
      <x:c r="E59" s="26"/>
      <x:c r="F59" s="26"/>
      <x:c r="G59" s="26">
        <x:f>자재단가대비표!N50</x:f>
        <x:v>88379</x:v>
      </x:c>
      <x:c r="H59" s="26">
        <x:f>ROUNDDOWN(D59*G59,1)</x:f>
        <x:v>1767.5</x:v>
      </x:c>
      <x:c r="I59" s="26"/>
      <x:c r="J59" s="26"/>
      <x:c r="K59" s="26">
        <x:f>E59+G59+I59</x:f>
        <x:v>88379</x:v>
      </x:c>
      <x:c r="L59" s="26">
        <x:f>F59+H59+J59</x:f>
        <x:v>1767.5</x:v>
      </x:c>
      <x:c r="M59" s="27" t="s">
        <x:v>318</x:v>
      </x:c>
      <x:c r="O59" s="20" t="s">
        <x:v>155</x:v>
      </x:c>
      <x:c r="P59" s="20" t="s">
        <x:v>342</x:v>
      </x:c>
      <x:c r="Q59" s="16">
        <x:v>1</x:v>
      </x:c>
    </x:row>
    <x:row r="60" spans="1:17" ht="23.100000000000001" customHeight="1">
      <x:c r="A60" s="23" t="s">
        <x:v>175</x:v>
      </x:c>
      <x:c r="B60" s="23" t="s">
        <x:v>220</x:v>
      </x:c>
      <x:c r="C60" s="24" t="s">
        <x:v>177</x:v>
      </x:c>
      <x:c r="D60" s="26">
        <x:v>0.039000000000000001</x:v>
      </x:c>
      <x:c r="E60" s="26"/>
      <x:c r="F60" s="26"/>
      <x:c r="G60" s="26">
        <x:f>자재단가대비표!N45</x:f>
        <x:v>140811</x:v>
      </x:c>
      <x:c r="H60" s="26">
        <x:f>ROUNDDOWN(D60*G60,1)</x:f>
        <x:v>5491.6000000000004</x:v>
      </x:c>
      <x:c r="I60" s="26"/>
      <x:c r="J60" s="26"/>
      <x:c r="K60" s="26">
        <x:f>E60+G60+I60</x:f>
        <x:v>140811</x:v>
      </x:c>
      <x:c r="L60" s="26">
        <x:f>F60+H60+J60</x:f>
        <x:v>5491.6000000000004</x:v>
      </x:c>
      <x:c r="M60" s="28"/>
      <x:c r="O60" s="20" t="s">
        <x:v>155</x:v>
      </x:c>
      <x:c r="P60" s="20" t="s">
        <x:v>342</x:v>
      </x:c>
      <x:c r="Q60" s="16">
        <x:v>1</x:v>
      </x:c>
    </x:row>
    <x:row r="61" spans="1:17" ht="23.100000000000001" customHeight="1">
      <x:c r="A61" s="23" t="s">
        <x:v>314</x:v>
      </x:c>
      <x:c r="B61" s="23" t="s">
        <x:v>220</x:v>
      </x:c>
      <x:c r="C61" s="24" t="s">
        <x:v>177</x:v>
      </x:c>
      <x:c r="D61" s="26">
        <x:v>0.046999999999999997</x:v>
      </x:c>
      <x:c r="E61" s="26"/>
      <x:c r="F61" s="26"/>
      <x:c r="G61" s="26">
        <x:f>자재단가대비표!N47</x:f>
        <x:v>87805</x:v>
      </x:c>
      <x:c r="H61" s="26">
        <x:f>ROUNDDOWN(D61*G61,1)</x:f>
        <x:v>4126.8000000000002</x:v>
      </x:c>
      <x:c r="I61" s="26"/>
      <x:c r="J61" s="26"/>
      <x:c r="K61" s="26">
        <x:f>E61+G61+I61</x:f>
        <x:v>87805</x:v>
      </x:c>
      <x:c r="L61" s="26">
        <x:f>F61+H61+J61</x:f>
        <x:v>4126.8000000000002</x:v>
      </x:c>
      <x:c r="M61" s="28"/>
      <x:c r="O61" s="20" t="s">
        <x:v>155</x:v>
      </x:c>
      <x:c r="P61" s="20" t="s">
        <x:v>342</x:v>
      </x:c>
      <x:c r="Q61" s="16">
        <x:v>1</x:v>
      </x:c>
    </x:row>
    <x:row r="62" spans="1:17" ht="23.100000000000001" customHeight="1">
      <x:c r="A62" s="23" t="s">
        <x:v>351</x:v>
      </x:c>
      <x:c r="B62" s="23" t="s">
        <x:v>345</x:v>
      </x:c>
      <x:c r="C62" s="24" t="s">
        <x:v>165</x:v>
      </x:c>
      <x:c r="D62" s="26">
        <x:v>0.11700000000000001</x:v>
      </x:c>
      <x:c r="E62" s="26">
        <x:f>중기경비!F12</x:f>
        <x:v>2268</x:v>
      </x:c>
      <x:c r="F62" s="26">
        <x:f>ROUNDDOWN(D62*E62,1)</x:f>
        <x:v>265.30000000000001</x:v>
      </x:c>
      <x:c r="G62" s="26"/>
      <x:c r="H62" s="26"/>
      <x:c r="I62" s="26">
        <x:f>중기경비!J12</x:f>
        <x:v>15434</x:v>
      </x:c>
      <x:c r="J62" s="26">
        <x:f>ROUNDDOWN(D62*I62,1)</x:f>
        <x:v>1805.7</x:v>
      </x:c>
      <x:c r="K62" s="26">
        <x:f>E62+G62+I62</x:f>
        <x:v>17702</x:v>
      </x:c>
      <x:c r="L62" s="26">
        <x:f>F62+H62+J62</x:f>
        <x:v>2071</x:v>
      </x:c>
      <x:c r="M62" s="27" t="s">
        <x:v>355</x:v>
      </x:c>
      <x:c r="P62" s="20" t="s">
        <x:v>342</x:v>
      </x:c>
      <x:c r="Q62" s="16">
        <x:v>1</x:v>
      </x:c>
    </x:row>
    <x:row r="63" spans="1:17" ht="23.100000000000001" customHeight="1">
      <x:c r="A63" s="23" t="s">
        <x:v>353</x:v>
      </x:c>
      <x:c r="B63" s="23" t="s">
        <x:v>21</x:v>
      </x:c>
      <x:c r="C63" s="24" t="s">
        <x:v>165</x:v>
      </x:c>
      <x:c r="D63" s="26">
        <x:v>0.11700000000000001</x:v>
      </x:c>
      <x:c r="E63" s="26">
        <x:f>중기경비!F22</x:f>
        <x:v>1925</x:v>
      </x:c>
      <x:c r="F63" s="26">
        <x:f>ROUNDDOWN(D63*E63,1)</x:f>
        <x:v>225.19999999999999</x:v>
      </x:c>
      <x:c r="G63" s="26"/>
      <x:c r="H63" s="26"/>
      <x:c r="I63" s="26">
        <x:f>중기경비!J22</x:f>
        <x:v>1687</x:v>
      </x:c>
      <x:c r="J63" s="26">
        <x:f>ROUNDDOWN(D63*I63,1)</x:f>
        <x:v>197.30000000000001</x:v>
      </x:c>
      <x:c r="K63" s="26">
        <x:f>E63+G63+I63</x:f>
        <x:v>3612</x:v>
      </x:c>
      <x:c r="L63" s="26">
        <x:f>F63+H63+J63</x:f>
        <x:v>422.5</x:v>
      </x:c>
      <x:c r="M63" s="27" t="s">
        <x:v>352</x:v>
      </x:c>
      <x:c r="P63" s="20" t="s">
        <x:v>342</x:v>
      </x:c>
      <x:c r="Q63" s="16">
        <x:v>1</x:v>
      </x:c>
    </x:row>
    <x:row r="64" spans="1:17" ht="23.100000000000001" customHeight="1">
      <x:c r="A64" s="23" t="s">
        <x:v>167</x:v>
      </x:c>
      <x:c r="B64" s="23" t="s">
        <x:v>350</x:v>
      </x:c>
      <x:c r="C64" s="24" t="s">
        <x:v>165</x:v>
      </x:c>
      <x:c r="D64" s="26">
        <x:v>0.11700000000000001</x:v>
      </x:c>
      <x:c r="E64" s="26">
        <x:f>중기경비!F30</x:f>
        <x:v>91</x:v>
      </x:c>
      <x:c r="F64" s="26">
        <x:f>ROUNDDOWN(D64*E64,1)</x:f>
        <x:v>10.6</x:v>
      </x:c>
      <x:c r="G64" s="26"/>
      <x:c r="H64" s="26"/>
      <x:c r="I64" s="26">
        <x:f>중기경비!J30</x:f>
        <x:v>10</x:v>
      </x:c>
      <x:c r="J64" s="26">
        <x:f>ROUNDDOWN(D64*I64,1)</x:f>
        <x:v>1.1000000000000001</x:v>
      </x:c>
      <x:c r="K64" s="26">
        <x:f>E64+G64+I64</x:f>
        <x:v>101</x:v>
      </x:c>
      <x:c r="L64" s="26">
        <x:f>F64+H64+J64</x:f>
        <x:v>11.699999999999999</x:v>
      </x:c>
      <x:c r="M64" s="27" t="s">
        <x:v>354</x:v>
      </x:c>
      <x:c r="P64" s="20" t="s">
        <x:v>342</x:v>
      </x:c>
      <x:c r="Q64" s="16">
        <x:v>1</x:v>
      </x:c>
    </x:row>
    <x:row r="65" spans="1:17" ht="23.100000000000001" customHeight="1">
      <x:c r="A65" s="23" t="s">
        <x:v>326</x:v>
      </x:c>
      <x:c r="B65" s="23" t="s">
        <x:v>99</x:v>
      </x:c>
      <x:c r="C65" s="24" t="s">
        <x:v>165</x:v>
      </x:c>
      <x:c r="D65" s="26">
        <x:v>0.11700000000000001</x:v>
      </x:c>
      <x:c r="E65" s="26"/>
      <x:c r="F65" s="26"/>
      <x:c r="G65" s="26"/>
      <x:c r="H65" s="26"/>
      <x:c r="I65" s="26">
        <x:f>중기경비!J35</x:f>
        <x:v>6</x:v>
      </x:c>
      <x:c r="J65" s="26">
        <x:f>ROUNDDOWN(D65*I65,1)</x:f>
        <x:v>0.69999999999999996</x:v>
      </x:c>
      <x:c r="K65" s="26">
        <x:f>E65+G65+I65</x:f>
        <x:v>6</x:v>
      </x:c>
      <x:c r="L65" s="26">
        <x:f>F65+H65+J65</x:f>
        <x:v>0.69999999999999996</x:v>
      </x:c>
      <x:c r="M65" s="27" t="s">
        <x:v>359</x:v>
      </x:c>
      <x:c r="P65" s="20" t="s">
        <x:v>342</x:v>
      </x:c>
      <x:c r="Q65" s="16">
        <x:v>1</x:v>
      </x:c>
    </x:row>
    <x:row r="66" spans="1:13" ht="23.100000000000001" customHeight="1">
      <x:c r="A66" s="24" t="s">
        <x:v>344</x:v>
      </x:c>
      <x:c r="B66" s="29"/>
      <x:c r="C66" s="30"/>
      <x:c r="D66" s="31"/>
      <x:c r="E66" s="31"/>
      <x:c r="F66" s="32">
        <x:f>ROUNDDOWN(SUMIF($Q$59:$Q$65,1,$F$59:$F$65),0)</x:f>
        <x:v>501</x:v>
      </x:c>
      <x:c r="G66" s="31"/>
      <x:c r="H66" s="32">
        <x:f>ROUNDDOWN(SUMIF($Q$59:$Q$65,1,$H$59:$H$65),0)</x:f>
        <x:v>11385</x:v>
      </x:c>
      <x:c r="I66" s="31"/>
      <x:c r="J66" s="32">
        <x:f>ROUNDDOWN(SUMIF($Q$59:$Q$65,1,$J$59:$J$65),0)</x:f>
        <x:v>2004</x:v>
      </x:c>
      <x:c r="K66" s="31"/>
      <x:c r="L66" s="32">
        <x:f>F66+H66+J66</x:f>
        <x:v>13890</x:v>
      </x:c>
      <x:c r="M66" s="28"/>
    </x:row>
    <x:row r="67" spans="1:13" ht="23.100000000000001" customHeight="1">
      <x:c r="A67" s="23" t="s">
        <x:v>249</x:v>
      </x:c>
      <x:c r="B67" s="23" t="s">
        <x:v>517</x:v>
      </x:c>
      <x:c r="C67" s="24" t="s">
        <x:v>100</x:v>
      </x:c>
      <x:c r="D67" s="26"/>
      <x:c r="E67" s="26"/>
      <x:c r="F67" s="26"/>
      <x:c r="G67" s="26"/>
      <x:c r="H67" s="26"/>
      <x:c r="I67" s="26"/>
      <x:c r="J67" s="26"/>
      <x:c r="K67" s="26"/>
      <x:c r="L67" s="26"/>
      <x:c r="M67" s="27" t="s">
        <x:v>512</x:v>
      </x:c>
    </x:row>
    <x:row r="68" spans="1:17" ht="23.100000000000001" customHeight="1">
      <x:c r="A68" s="23" t="s">
        <x:v>175</x:v>
      </x:c>
      <x:c r="B68" s="23" t="s">
        <x:v>220</x:v>
      </x:c>
      <x:c r="C68" s="24" t="s">
        <x:v>177</x:v>
      </x:c>
      <x:c r="D68" s="26">
        <x:v>0.0023999999999999999</x:v>
      </x:c>
      <x:c r="E68" s="26"/>
      <x:c r="F68" s="26"/>
      <x:c r="G68" s="26">
        <x:f>자재단가대비표!N45</x:f>
        <x:v>140811</x:v>
      </x:c>
      <x:c r="H68" s="26">
        <x:f>ROUNDDOWN(D68*G68,1)</x:f>
        <x:v>337.89999999999998</x:v>
      </x:c>
      <x:c r="I68" s="26"/>
      <x:c r="J68" s="26"/>
      <x:c r="K68" s="26">
        <x:f>E68+G68+I68</x:f>
        <x:v>140811</x:v>
      </x:c>
      <x:c r="L68" s="26">
        <x:f>F68+H68+J68</x:f>
        <x:v>337.89999999999998</x:v>
      </x:c>
      <x:c r="M68" s="28"/>
      <x:c r="O68" s="20" t="s">
        <x:v>155</x:v>
      </x:c>
      <x:c r="P68" s="20" t="s">
        <x:v>342</x:v>
      </x:c>
      <x:c r="Q68" s="16">
        <x:v>1</x:v>
      </x:c>
    </x:row>
    <x:row r="69" spans="1:13" ht="23.100000000000001" customHeight="1">
      <x:c r="A69" s="24" t="s">
        <x:v>344</x:v>
      </x:c>
      <x:c r="B69" s="29"/>
      <x:c r="C69" s="30"/>
      <x:c r="D69" s="31"/>
      <x:c r="E69" s="31"/>
      <x:c r="F69" s="32">
        <x:f>ROUNDDOWN(SUMIF($Q$68:$Q$68,1,$F$68:$F$68),0)</x:f>
        <x:v>0</x:v>
      </x:c>
      <x:c r="G69" s="31"/>
      <x:c r="H69" s="32">
        <x:f>ROUNDDOWN(SUMIF($Q$68:$Q$68,1,$H$68:$H$68),0)</x:f>
        <x:v>337</x:v>
      </x:c>
      <x:c r="I69" s="31"/>
      <x:c r="J69" s="32">
        <x:f>ROUNDDOWN(SUMIF($Q$68:$Q$68,1,$J$68:$J$68),0)</x:f>
        <x:v>0</x:v>
      </x:c>
      <x:c r="K69" s="31"/>
      <x:c r="L69" s="32">
        <x:f>F69+H69+J69</x:f>
        <x:v>337</x:v>
      </x:c>
      <x:c r="M69" s="28"/>
    </x:row>
    <x:row r="70" spans="1:13" ht="23.100000000000001" customHeight="1">
      <x:c r="A70" s="23" t="s">
        <x:v>252</x:v>
      </x:c>
      <x:c r="B70" s="23" t="s">
        <x:v>52</x:v>
      </x:c>
      <x:c r="C70" s="24" t="s">
        <x:v>100</x:v>
      </x:c>
      <x:c r="D70" s="26"/>
      <x:c r="E70" s="26"/>
      <x:c r="F70" s="26"/>
      <x:c r="G70" s="26"/>
      <x:c r="H70" s="26"/>
      <x:c r="I70" s="26"/>
      <x:c r="J70" s="26"/>
      <x:c r="K70" s="26"/>
      <x:c r="L70" s="26"/>
      <x:c r="M70" s="27" t="s">
        <x:v>56</x:v>
      </x:c>
    </x:row>
    <x:row r="71" spans="1:17" ht="23.100000000000001" customHeight="1">
      <x:c r="A71" s="23" t="s">
        <x:v>364</x:v>
      </x:c>
      <x:c r="B71" s="23" t="s">
        <x:v>48</x:v>
      </x:c>
      <x:c r="C71" s="24" t="s">
        <x:v>100</x:v>
      </x:c>
      <x:c r="D71" s="26">
        <x:v>1</x:v>
      </x:c>
      <x:c r="E71" s="26">
        <x:f>일위대가표!F34</x:f>
        <x:v>174</x:v>
      </x:c>
      <x:c r="F71" s="26">
        <x:f>ROUNDDOWN(D71*E71,1)</x:f>
        <x:v>174</x:v>
      </x:c>
      <x:c r="G71" s="26">
        <x:f>일위대가표!H34</x:f>
        <x:v>1309</x:v>
      </x:c>
      <x:c r="H71" s="26">
        <x:f>ROUNDDOWN(D71*G71,1)</x:f>
        <x:v>1309</x:v>
      </x:c>
      <x:c r="I71" s="26"/>
      <x:c r="J71" s="26"/>
      <x:c r="K71" s="26">
        <x:f>E71+G71+I71</x:f>
        <x:v>1483</x:v>
      </x:c>
      <x:c r="L71" s="26">
        <x:f>F71+H71+J71</x:f>
        <x:v>1483</x:v>
      </x:c>
      <x:c r="M71" s="27" t="s">
        <x:v>363</x:v>
      </x:c>
      <x:c r="P71" s="20" t="s">
        <x:v>342</x:v>
      </x:c>
      <x:c r="Q71" s="16">
        <x:v>1</x:v>
      </x:c>
    </x:row>
    <x:row r="72" spans="1:17" ht="23.100000000000001" customHeight="1">
      <x:c r="A72" s="23" t="s">
        <x:v>289</x:v>
      </x:c>
      <x:c r="B72" s="23" t="s">
        <x:v>243</x:v>
      </x:c>
      <x:c r="C72" s="24" t="s">
        <x:v>208</x:v>
      </x:c>
      <x:c r="D72" s="26">
        <x:v>0.19700000000000001</x:v>
      </x:c>
      <x:c r="E72" s="26">
        <x:f>자재단가대비표!N22</x:f>
        <x:v>3380</x:v>
      </x:c>
      <x:c r="F72" s="26">
        <x:f>ROUNDDOWN(D72*E72,1)</x:f>
        <x:v>665.79999999999995</x:v>
      </x:c>
      <x:c r="G72" s="26"/>
      <x:c r="H72" s="26"/>
      <x:c r="I72" s="26"/>
      <x:c r="J72" s="26"/>
      <x:c r="K72" s="26">
        <x:f>E72+G72+I72</x:f>
        <x:v>3380</x:v>
      </x:c>
      <x:c r="L72" s="26">
        <x:f>F72+H72+J72</x:f>
        <x:v>665.79999999999995</x:v>
      </x:c>
      <x:c r="M72" s="28"/>
      <x:c r="O72" s="20" t="s">
        <x:v>153</x:v>
      </x:c>
      <x:c r="P72" s="20" t="s">
        <x:v>342</x:v>
      </x:c>
      <x:c r="Q72" s="16">
        <x:v>1</x:v>
      </x:c>
    </x:row>
    <x:row r="73" spans="1:17" ht="23.100000000000001" customHeight="1">
      <x:c r="A73" s="23" t="s">
        <x:v>376</x:v>
      </x:c>
      <x:c r="B73" s="29" t="str">
        <x:f>"주재료비의 "&amp;N73*100&amp;"%"</x:f>
        <x:v>주재료비의 6%</x:v>
      </x:c>
      <x:c r="C73" s="24" t="s">
        <x:v>160</x:v>
      </x:c>
      <x:c r="D73" s="34" t="s">
        <x:v>158</x:v>
      </x:c>
      <x:c r="E73" s="26">
        <x:f>SUMIF($O$70:O75,"05",$F$70:F75)</x:f>
        <x:v>665.79999999999995</x:v>
      </x:c>
      <x:c r="F73" s="26">
        <x:f>ROUNDDOWN(E73*N73,1)</x:f>
        <x:v>39.899999999999999</x:v>
      </x:c>
      <x:c r="G73" s="26"/>
      <x:c r="H73" s="26"/>
      <x:c r="I73" s="26"/>
      <x:c r="J73" s="26"/>
      <x:c r="K73" s="26">
        <x:f>E73+G73+I73</x:f>
        <x:v>665.79999999999995</x:v>
      </x:c>
      <x:c r="L73" s="26">
        <x:f>F73+H73+J73</x:f>
        <x:v>39.899999999999999</x:v>
      </x:c>
      <x:c r="M73" s="28"/>
      <x:c r="N73" s="21">
        <x:v>0.059999999999999998</x:v>
      </x:c>
      <x:c r="P73" s="20" t="s">
        <x:v>342</x:v>
      </x:c>
      <x:c r="Q73" s="16">
        <x:v>1</x:v>
      </x:c>
    </x:row>
    <x:row r="74" spans="1:17" ht="23.100000000000001" customHeight="1">
      <x:c r="A74" s="23" t="s">
        <x:v>176</x:v>
      </x:c>
      <x:c r="B74" s="23" t="s">
        <x:v>220</x:v>
      </x:c>
      <x:c r="C74" s="24" t="s">
        <x:v>177</x:v>
      </x:c>
      <x:c r="D74" s="26">
        <x:v>0.023999999999999999</x:v>
      </x:c>
      <x:c r="E74" s="26"/>
      <x:c r="F74" s="26"/>
      <x:c r="G74" s="26">
        <x:f>자재단가대비표!N44</x:f>
        <x:v>122128</x:v>
      </x:c>
      <x:c r="H74" s="26">
        <x:f>ROUNDDOWN(D74*G74,1)</x:f>
        <x:v>2931</x:v>
      </x:c>
      <x:c r="I74" s="26"/>
      <x:c r="J74" s="26"/>
      <x:c r="K74" s="26">
        <x:f>E74+G74+I74</x:f>
        <x:v>122128</x:v>
      </x:c>
      <x:c r="L74" s="26">
        <x:f>F74+H74+J74</x:f>
        <x:v>2931</x:v>
      </x:c>
      <x:c r="M74" s="28"/>
      <x:c r="O74" s="20" t="s">
        <x:v>155</x:v>
      </x:c>
      <x:c r="P74" s="20" t="s">
        <x:v>342</x:v>
      </x:c>
      <x:c r="Q74" s="16">
        <x:v>1</x:v>
      </x:c>
    </x:row>
    <x:row r="75" spans="1:17" ht="23.100000000000001" customHeight="1">
      <x:c r="A75" s="23" t="s">
        <x:v>314</x:v>
      </x:c>
      <x:c r="B75" s="23" t="s">
        <x:v>220</x:v>
      </x:c>
      <x:c r="C75" s="24" t="s">
        <x:v>177</x:v>
      </x:c>
      <x:c r="D75" s="26">
        <x:v>0.0040000000000000002</x:v>
      </x:c>
      <x:c r="E75" s="26"/>
      <x:c r="F75" s="26"/>
      <x:c r="G75" s="26">
        <x:f>자재단가대비표!N47</x:f>
        <x:v>87805</x:v>
      </x:c>
      <x:c r="H75" s="26">
        <x:f>ROUNDDOWN(D75*G75,1)</x:f>
        <x:v>351.19999999999999</x:v>
      </x:c>
      <x:c r="I75" s="26"/>
      <x:c r="J75" s="26"/>
      <x:c r="K75" s="26">
        <x:f>E75+G75+I75</x:f>
        <x:v>87805</x:v>
      </x:c>
      <x:c r="L75" s="26">
        <x:f>F75+H75+J75</x:f>
        <x:v>351.19999999999999</x:v>
      </x:c>
      <x:c r="M75" s="28"/>
      <x:c r="O75" s="20" t="s">
        <x:v>155</x:v>
      </x:c>
      <x:c r="P75" s="20" t="s">
        <x:v>342</x:v>
      </x:c>
      <x:c r="Q75" s="16">
        <x:v>1</x:v>
      </x:c>
    </x:row>
    <x:row r="76" spans="1:13" ht="23.100000000000001" customHeight="1">
      <x:c r="A76" s="24" t="s">
        <x:v>344</x:v>
      </x:c>
      <x:c r="B76" s="29"/>
      <x:c r="C76" s="30"/>
      <x:c r="D76" s="31"/>
      <x:c r="E76" s="31"/>
      <x:c r="F76" s="32">
        <x:f>ROUNDDOWN(SUMIF($Q$71:$Q$75,1,$F$71:$F$75),0)</x:f>
        <x:v>879</x:v>
      </x:c>
      <x:c r="G76" s="31"/>
      <x:c r="H76" s="32">
        <x:f>ROUNDDOWN(SUMIF($Q$71:$Q$75,1,$H$71:$H$75),0)</x:f>
        <x:v>4591</x:v>
      </x:c>
      <x:c r="I76" s="31"/>
      <x:c r="J76" s="32">
        <x:f>ROUNDDOWN(SUMIF($Q$71:$Q$75,1,$J$71:$J$75),0)</x:f>
        <x:v>0</x:v>
      </x:c>
      <x:c r="K76" s="31"/>
      <x:c r="L76" s="32">
        <x:f>F76+H76+J76</x:f>
        <x:v>5470</x:v>
      </x:c>
      <x:c r="M76" s="28"/>
    </x:row>
    <x:row r="77" spans="1:13" ht="23.100000000000001" customHeight="1">
      <x:c r="A77" s="23" t="s">
        <x:v>514</x:v>
      </x:c>
      <x:c r="B77" s="23" t="s">
        <x:v>57</x:v>
      </x:c>
      <x:c r="C77" s="24" t="s">
        <x:v>100</x:v>
      </x:c>
      <x:c r="D77" s="26"/>
      <x:c r="E77" s="26"/>
      <x:c r="F77" s="26"/>
      <x:c r="G77" s="26"/>
      <x:c r="H77" s="26"/>
      <x:c r="I77" s="26"/>
      <x:c r="J77" s="26"/>
      <x:c r="K77" s="26"/>
      <x:c r="L77" s="26"/>
      <x:c r="M77" s="27" t="s">
        <x:v>366</x:v>
      </x:c>
    </x:row>
    <x:row r="78" spans="1:17" ht="23.100000000000001" customHeight="1">
      <x:c r="A78" s="23" t="s">
        <x:v>364</x:v>
      </x:c>
      <x:c r="B78" s="23" t="s">
        <x:v>152</x:v>
      </x:c>
      <x:c r="C78" s="24" t="s">
        <x:v>100</x:v>
      </x:c>
      <x:c r="D78" s="26">
        <x:v>1</x:v>
      </x:c>
      <x:c r="E78" s="26">
        <x:v>84</x:v>
      </x:c>
      <x:c r="F78" s="26">
        <x:f>ROUNDDOWN(D78*E78,1)</x:f>
        <x:v>84</x:v>
      </x:c>
      <x:c r="G78" s="26">
        <x:v>1728</x:v>
      </x:c>
      <x:c r="H78" s="26">
        <x:f>ROUNDDOWN(D78*G78,1)</x:f>
        <x:v>1728</x:v>
      </x:c>
      <x:c r="I78" s="26"/>
      <x:c r="J78" s="26"/>
      <x:c r="K78" s="26">
        <x:f>E78+G78+I78</x:f>
        <x:v>1812</x:v>
      </x:c>
      <x:c r="L78" s="26">
        <x:f>F78+H78+J78</x:f>
        <x:v>1812</x:v>
      </x:c>
      <x:c r="M78" s="27" t="s">
        <x:v>58</x:v>
      </x:c>
      <x:c r="P78" s="20" t="s">
        <x:v>342</x:v>
      </x:c>
      <x:c r="Q78" s="16">
        <x:v>1</x:v>
      </x:c>
    </x:row>
    <x:row r="79" spans="1:17" ht="23.100000000000001" customHeight="1">
      <x:c r="A79" s="23" t="s">
        <x:v>375</x:v>
      </x:c>
      <x:c r="B79" s="23" t="s">
        <x:v>251</x:v>
      </x:c>
      <x:c r="C79" s="24" t="s">
        <x:v>208</x:v>
      </x:c>
      <x:c r="D79" s="26">
        <x:v>0.099500000000000011</x:v>
      </x:c>
      <x:c r="E79" s="26">
        <x:v>4880</x:v>
      </x:c>
      <x:c r="F79" s="26">
        <x:f>ROUNDDOWN(D79*E79,1)</x:f>
        <x:v>485.5</x:v>
      </x:c>
      <x:c r="G79" s="26"/>
      <x:c r="H79" s="26"/>
      <x:c r="I79" s="26"/>
      <x:c r="J79" s="26"/>
      <x:c r="K79" s="26">
        <x:f>E79+G79+I79</x:f>
        <x:v>4880</x:v>
      </x:c>
      <x:c r="L79" s="26">
        <x:f>F79+H79+J79</x:f>
        <x:v>485.5</x:v>
      </x:c>
      <x:c r="M79" s="28"/>
      <x:c r="O79" s="20" t="s">
        <x:v>159</x:v>
      </x:c>
      <x:c r="P79" s="20" t="s">
        <x:v>342</x:v>
      </x:c>
      <x:c r="Q79" s="16">
        <x:v>1</x:v>
      </x:c>
    </x:row>
    <x:row r="80" spans="1:17" ht="23.100000000000001" customHeight="1">
      <x:c r="A80" s="23" t="s">
        <x:v>375</x:v>
      </x:c>
      <x:c r="B80" s="23" t="s">
        <x:v>253</x:v>
      </x:c>
      <x:c r="C80" s="24" t="s">
        <x:v>208</x:v>
      </x:c>
      <x:c r="D80" s="26">
        <x:v>0.099500000000000011</x:v>
      </x:c>
      <x:c r="E80" s="26">
        <x:v>5330</x:v>
      </x:c>
      <x:c r="F80" s="26">
        <x:f>ROUNDDOWN(D80*E80,1)</x:f>
        <x:v>530.29999999999995</x:v>
      </x:c>
      <x:c r="G80" s="26"/>
      <x:c r="H80" s="26"/>
      <x:c r="I80" s="26"/>
      <x:c r="J80" s="26"/>
      <x:c r="K80" s="26">
        <x:f>E80+G80+I80</x:f>
        <x:v>5330</x:v>
      </x:c>
      <x:c r="L80" s="26">
        <x:f>F80+H80+J80</x:f>
        <x:v>530.29999999999995</x:v>
      </x:c>
      <x:c r="M80" s="28"/>
      <x:c r="O80" s="20" t="s">
        <x:v>159</x:v>
      </x:c>
      <x:c r="P80" s="20" t="s">
        <x:v>342</x:v>
      </x:c>
      <x:c r="Q80" s="16">
        <x:v>1</x:v>
      </x:c>
    </x:row>
    <x:row r="81" spans="1:17" ht="23.100000000000001" customHeight="1">
      <x:c r="A81" s="23" t="s">
        <x:v>193</x:v>
      </x:c>
      <x:c r="B81" s="23" t="s">
        <x:v>242</x:v>
      </x:c>
      <x:c r="C81" s="24" t="s">
        <x:v>208</x:v>
      </x:c>
      <x:c r="D81" s="26">
        <x:v>0.0080000000000000004</x:v>
      </x:c>
      <x:c r="E81" s="26">
        <x:f>자재단가대비표!N26</x:f>
        <x:v>1777</x:v>
      </x:c>
      <x:c r="F81" s="26">
        <x:f>ROUNDDOWN(D81*E81,1)</x:f>
        <x:v>14.199999999999999</x:v>
      </x:c>
      <x:c r="G81" s="26"/>
      <x:c r="H81" s="26"/>
      <x:c r="I81" s="26"/>
      <x:c r="J81" s="26"/>
      <x:c r="K81" s="26">
        <x:f>E81+G81+I81</x:f>
        <x:v>1777</x:v>
      </x:c>
      <x:c r="L81" s="26">
        <x:f>F81+H81+J81</x:f>
        <x:v>14.199999999999999</x:v>
      </x:c>
      <x:c r="M81" s="28"/>
      <x:c r="O81" s="20" t="s">
        <x:v>159</x:v>
      </x:c>
      <x:c r="P81" s="20" t="s">
        <x:v>342</x:v>
      </x:c>
      <x:c r="Q81" s="16">
        <x:v>1</x:v>
      </x:c>
    </x:row>
    <x:row r="82" spans="1:17" ht="23.100000000000001" customHeight="1">
      <x:c r="A82" s="23" t="s">
        <x:v>182</x:v>
      </x:c>
      <x:c r="B82" s="23" t="s">
        <x:v>23</x:v>
      </x:c>
      <x:c r="C82" s="24" t="s">
        <x:v>211</x:v>
      </x:c>
      <x:c r="D82" s="26">
        <x:v>0.059999999999999998</x:v>
      </x:c>
      <x:c r="E82" s="26">
        <x:f>자재단가대비표!N40</x:f>
        <x:v>3090</x:v>
      </x:c>
      <x:c r="F82" s="26">
        <x:f>ROUNDDOWN(D82*E82,1)</x:f>
        <x:v>185.40000000000001</x:v>
      </x:c>
      <x:c r="G82" s="26"/>
      <x:c r="H82" s="26"/>
      <x:c r="I82" s="26"/>
      <x:c r="J82" s="26"/>
      <x:c r="K82" s="26">
        <x:f>E82+G82+I82</x:f>
        <x:v>3090</x:v>
      </x:c>
      <x:c r="L82" s="26">
        <x:f>F82+H82+J82</x:f>
        <x:v>185.40000000000001</x:v>
      </x:c>
      <x:c r="M82" s="28"/>
      <x:c r="O82" s="20" t="s">
        <x:v>159</x:v>
      </x:c>
      <x:c r="P82" s="20" t="s">
        <x:v>342</x:v>
      </x:c>
      <x:c r="Q82" s="16">
        <x:v>1</x:v>
      </x:c>
    </x:row>
    <x:row r="83" spans="1:17" ht="23.100000000000001" customHeight="1">
      <x:c r="A83" s="23" t="s">
        <x:v>187</x:v>
      </x:c>
      <x:c r="B83" s="23" t="s">
        <x:v>30</x:v>
      </x:c>
      <x:c r="C83" s="24" t="s">
        <x:v>188</x:v>
      </x:c>
      <x:c r="D83" s="26">
        <x:v>0.5</x:v>
      </x:c>
      <x:c r="E83" s="26">
        <x:f>자재단가대비표!N32</x:f>
        <x:v>200</x:v>
      </x:c>
      <x:c r="F83" s="26">
        <x:f>ROUNDDOWN(D83*E83,1)</x:f>
        <x:v>100</x:v>
      </x:c>
      <x:c r="G83" s="26"/>
      <x:c r="H83" s="26"/>
      <x:c r="I83" s="26"/>
      <x:c r="J83" s="26"/>
      <x:c r="K83" s="26">
        <x:f>E83+G83+I83</x:f>
        <x:v>200</x:v>
      </x:c>
      <x:c r="L83" s="26">
        <x:f>F83+H83+J83</x:f>
        <x:v>100</x:v>
      </x:c>
      <x:c r="M83" s="28"/>
      <x:c r="O83" s="20" t="s">
        <x:v>159</x:v>
      </x:c>
      <x:c r="P83" s="20" t="s">
        <x:v>342</x:v>
      </x:c>
      <x:c r="Q83" s="16">
        <x:v>1</x:v>
      </x:c>
    </x:row>
    <x:row r="84" spans="1:17" ht="23.100000000000001" customHeight="1">
      <x:c r="A84" s="23" t="s">
        <x:v>212</x:v>
      </x:c>
      <x:c r="B84" s="23" t="s">
        <x:v>220</x:v>
      </x:c>
      <x:c r="C84" s="24" t="s">
        <x:v>211</x:v>
      </x:c>
      <x:c r="D84" s="26">
        <x:v>0.010000000000000001</x:v>
      </x:c>
      <x:c r="E84" s="26">
        <x:f>자재단가대비표!N11</x:f>
        <x:v>1640</x:v>
      </x:c>
      <x:c r="F84" s="26">
        <x:f>ROUNDDOWN(D84*E84,1)</x:f>
        <x:v>16.399999999999999</x:v>
      </x:c>
      <x:c r="G84" s="26"/>
      <x:c r="H84" s="26"/>
      <x:c r="I84" s="26"/>
      <x:c r="J84" s="26"/>
      <x:c r="K84" s="26">
        <x:f>E84+G84+I84</x:f>
        <x:v>1640</x:v>
      </x:c>
      <x:c r="L84" s="26">
        <x:f>F84+H84+J84</x:f>
        <x:v>16.399999999999999</x:v>
      </x:c>
      <x:c r="M84" s="28"/>
      <x:c r="O84" s="20" t="s">
        <x:v>159</x:v>
      </x:c>
      <x:c r="P84" s="20" t="s">
        <x:v>342</x:v>
      </x:c>
      <x:c r="Q84" s="16">
        <x:v>1</x:v>
      </x:c>
    </x:row>
    <x:row r="85" spans="1:17" ht="23.100000000000001" customHeight="1">
      <x:c r="A85" s="23" t="s">
        <x:v>180</x:v>
      </x:c>
      <x:c r="B85" s="23" t="s">
        <x:v>179</x:v>
      </x:c>
      <x:c r="C85" s="24" t="s">
        <x:v>208</x:v>
      </x:c>
      <x:c r="D85" s="26">
        <x:v>0.05</x:v>
      </x:c>
      <x:c r="E85" s="26">
        <x:f>자재단가대비표!N42</x:f>
        <x:v>1366</x:v>
      </x:c>
      <x:c r="F85" s="26">
        <x:f>ROUNDDOWN(D85*E85,1)</x:f>
        <x:v>68.299999999999997</x:v>
      </x:c>
      <x:c r="G85" s="26"/>
      <x:c r="H85" s="26"/>
      <x:c r="I85" s="26"/>
      <x:c r="J85" s="26"/>
      <x:c r="K85" s="26">
        <x:f>E85+G85+I85</x:f>
        <x:v>1366</x:v>
      </x:c>
      <x:c r="L85" s="26">
        <x:f>F85+H85+J85</x:f>
        <x:v>68.299999999999997</x:v>
      </x:c>
      <x:c r="M85" s="28"/>
      <x:c r="O85" s="20" t="s">
        <x:v>159</x:v>
      </x:c>
      <x:c r="P85" s="20" t="s">
        <x:v>342</x:v>
      </x:c>
      <x:c r="Q85" s="16">
        <x:v>1</x:v>
      </x:c>
    </x:row>
    <x:row r="86" spans="1:17" ht="23.100000000000001" customHeight="1">
      <x:c r="A86" s="23" t="s">
        <x:v>176</x:v>
      </x:c>
      <x:c r="B86" s="23" t="s">
        <x:v>220</x:v>
      </x:c>
      <x:c r="C86" s="24" t="s">
        <x:v>177</x:v>
      </x:c>
      <x:c r="D86" s="26">
        <x:v>0.055000000000000004</x:v>
      </x:c>
      <x:c r="E86" s="26"/>
      <x:c r="F86" s="26"/>
      <x:c r="G86" s="26">
        <x:f>자재단가대비표!N44</x:f>
        <x:v>122128</x:v>
      </x:c>
      <x:c r="H86" s="26">
        <x:f>ROUNDDOWN(D86*G86,1)</x:f>
        <x:v>6717</x:v>
      </x:c>
      <x:c r="I86" s="26"/>
      <x:c r="J86" s="26"/>
      <x:c r="K86" s="26">
        <x:f>E86+G86+I86</x:f>
        <x:v>122128</x:v>
      </x:c>
      <x:c r="L86" s="26">
        <x:f>F86+H86+J86</x:f>
        <x:v>6717</x:v>
      </x:c>
      <x:c r="M86" s="28"/>
      <x:c r="O86" s="20" t="s">
        <x:v>155</x:v>
      </x:c>
      <x:c r="P86" s="20" t="s">
        <x:v>342</x:v>
      </x:c>
      <x:c r="Q86" s="16">
        <x:v>1</x:v>
      </x:c>
    </x:row>
    <x:row r="87" spans="1:17" ht="23.100000000000001" customHeight="1">
      <x:c r="A87" s="23" t="s">
        <x:v>362</x:v>
      </x:c>
      <x:c r="B87" s="29" t="str">
        <x:f>"노무비의 "&amp;N87*100&amp;"%"</x:f>
        <x:v>노무비의 2%</x:v>
      </x:c>
      <x:c r="C87" s="24" t="s">
        <x:v>160</x:v>
      </x:c>
      <x:c r="D87" s="34" t="s">
        <x:v>158</x:v>
      </x:c>
      <x:c r="E87" s="26">
        <x:f>SUMIF($O$77:O87,"02",$H$77:H87)</x:f>
        <x:v>6717</x:v>
      </x:c>
      <x:c r="F87" s="26">
        <x:f>ROUNDDOWN(E87*N87,1)</x:f>
        <x:v>134.30000000000001</x:v>
      </x:c>
      <x:c r="G87" s="26"/>
      <x:c r="H87" s="26"/>
      <x:c r="I87" s="26"/>
      <x:c r="J87" s="26"/>
      <x:c r="K87" s="26">
        <x:f>E87+G87+I87</x:f>
        <x:v>6717</x:v>
      </x:c>
      <x:c r="L87" s="26">
        <x:f>F87+H87+J87</x:f>
        <x:v>134.30000000000001</x:v>
      </x:c>
      <x:c r="M87" s="27" t="s">
        <x:v>361</x:v>
      </x:c>
      <x:c r="N87" s="21">
        <x:v>0.020000000000000001</x:v>
      </x:c>
      <x:c r="P87" s="20" t="s">
        <x:v>342</x:v>
      </x:c>
      <x:c r="Q87" s="16">
        <x:v>1</x:v>
      </x:c>
    </x:row>
    <x:row r="88" spans="1:13" ht="23.100000000000001" customHeight="1">
      <x:c r="A88" s="24" t="s">
        <x:v>344</x:v>
      </x:c>
      <x:c r="B88" s="29"/>
      <x:c r="C88" s="30"/>
      <x:c r="D88" s="31"/>
      <x:c r="E88" s="31"/>
      <x:c r="F88" s="32">
        <x:f>ROUNDDOWN(SUMIF($Q$78:$Q$87,1,$F$78:$F$87),0)</x:f>
        <x:v>1618</x:v>
      </x:c>
      <x:c r="G88" s="31"/>
      <x:c r="H88" s="32">
        <x:f>ROUNDDOWN(SUMIF($Q$78:$Q$87,1,$H$78:$H$87),0)</x:f>
        <x:v>8445</x:v>
      </x:c>
      <x:c r="I88" s="31"/>
      <x:c r="J88" s="32">
        <x:f>ROUNDDOWN(SUMIF($Q$78:$Q$87,1,$J$78:$J$87),0)</x:f>
        <x:v>0</x:v>
      </x:c>
      <x:c r="K88" s="31"/>
      <x:c r="L88" s="32">
        <x:f>F88+H88+J88</x:f>
        <x:v>10063</x:v>
      </x:c>
      <x:c r="M88" s="28"/>
    </x:row>
    <x:row r="89" spans="1:13" ht="23.100000000000001" customHeight="1">
      <x:c r="A89" s="23" t="s">
        <x:v>1</x:v>
      </x:c>
      <x:c r="B89" s="23" t="s">
        <x:v>59</x:v>
      </x:c>
      <x:c r="C89" s="24" t="s">
        <x:v>100</x:v>
      </x:c>
      <x:c r="D89" s="31"/>
      <x:c r="E89" s="31"/>
      <x:c r="F89" s="32">
        <x:v>76000</x:v>
      </x:c>
      <x:c r="G89" s="31"/>
      <x:c r="H89" s="32">
        <x:v>32000</x:v>
      </x:c>
      <x:c r="I89" s="31"/>
      <x:c r="J89" s="32">
        <x:v>4000</x:v>
      </x:c>
      <x:c r="K89" s="31"/>
      <x:c r="L89" s="32">
        <x:f>F89+H89+J89</x:f>
        <x:v>112000</x:v>
      </x:c>
      <x:c r="M89" s="27" t="s">
        <x:v>98</x:v>
      </x:c>
    </x:row>
    <x:row r="90" spans="1:13" ht="23.100000000000001" customHeight="1">
      <x:c r="A90" s="23" t="s">
        <x:v>513</x:v>
      </x:c>
      <x:c r="B90" s="23" t="s">
        <x:v>246</x:v>
      </x:c>
      <x:c r="C90" s="24" t="s">
        <x:v>100</x:v>
      </x:c>
      <x:c r="D90" s="26"/>
      <x:c r="E90" s="26"/>
      <x:c r="F90" s="26"/>
      <x:c r="G90" s="26"/>
      <x:c r="H90" s="26"/>
      <x:c r="I90" s="26"/>
      <x:c r="J90" s="26"/>
      <x:c r="K90" s="26"/>
      <x:c r="L90" s="26"/>
      <x:c r="M90" s="27" t="s">
        <x:v>61</x:v>
      </x:c>
    </x:row>
    <x:row r="91" spans="1:17" ht="23.100000000000001" customHeight="1">
      <x:c r="A91" s="23" t="s">
        <x:v>272</x:v>
      </x:c>
      <x:c r="B91" s="23" t="s">
        <x:v>532</x:v>
      </x:c>
      <x:c r="C91" s="24" t="s">
        <x:v>100</x:v>
      </x:c>
      <x:c r="D91" s="26">
        <x:v>1.05</x:v>
      </x:c>
      <x:c r="E91" s="26">
        <x:f>자재단가대비표!N12</x:f>
        <x:v>11400</x:v>
      </x:c>
      <x:c r="F91" s="26">
        <x:f>ROUNDDOWN(D91*E91,1)</x:f>
        <x:v>11970</x:v>
      </x:c>
      <x:c r="G91" s="26"/>
      <x:c r="H91" s="26"/>
      <x:c r="I91" s="26"/>
      <x:c r="J91" s="26"/>
      <x:c r="K91" s="26">
        <x:f>E91+G91+I91</x:f>
        <x:v>11400</x:v>
      </x:c>
      <x:c r="L91" s="26">
        <x:f>F91+H91+J91</x:f>
        <x:v>11970</x:v>
      </x:c>
      <x:c r="M91" s="28"/>
      <x:c r="O91" s="20" t="s">
        <x:v>159</x:v>
      </x:c>
      <x:c r="P91" s="20" t="s">
        <x:v>342</x:v>
      </x:c>
      <x:c r="Q91" s="16">
        <x:v>1</x:v>
      </x:c>
    </x:row>
    <x:row r="92" spans="1:17" ht="23.100000000000001" customHeight="1">
      <x:c r="A92" s="23" t="s">
        <x:v>183</x:v>
      </x:c>
      <x:c r="B92" s="23" t="s">
        <x:v>309</x:v>
      </x:c>
      <x:c r="C92" s="24" t="s">
        <x:v>211</x:v>
      </x:c>
      <x:c r="D92" s="26">
        <x:v>0.34499999999999997</x:v>
      </x:c>
      <x:c r="E92" s="26">
        <x:f>자재단가대비표!N38</x:f>
        <x:v>2450</x:v>
      </x:c>
      <x:c r="F92" s="26">
        <x:f>ROUNDDOWN(D92*E92,1)</x:f>
        <x:v>845.20000000000005</x:v>
      </x:c>
      <x:c r="G92" s="26"/>
      <x:c r="H92" s="26"/>
      <x:c r="I92" s="26"/>
      <x:c r="J92" s="26"/>
      <x:c r="K92" s="26">
        <x:f>E92+G92+I92</x:f>
        <x:v>2450</x:v>
      </x:c>
      <x:c r="L92" s="26">
        <x:f>F92+H92+J92</x:f>
        <x:v>845.20000000000005</x:v>
      </x:c>
      <x:c r="M92" s="28"/>
      <x:c r="O92" s="20" t="s">
        <x:v>159</x:v>
      </x:c>
      <x:c r="P92" s="20" t="s">
        <x:v>342</x:v>
      </x:c>
      <x:c r="Q92" s="16">
        <x:v>1</x:v>
      </x:c>
    </x:row>
    <x:row r="93" spans="1:17" ht="23.100000000000001" customHeight="1">
      <x:c r="A93" s="23" t="s">
        <x:v>178</x:v>
      </x:c>
      <x:c r="B93" s="23" t="s">
        <x:v>220</x:v>
      </x:c>
      <x:c r="C93" s="24" t="s">
        <x:v>177</x:v>
      </x:c>
      <x:c r="D93" s="26">
        <x:v>0.053000000000000003</x:v>
      </x:c>
      <x:c r="E93" s="26"/>
      <x:c r="F93" s="26"/>
      <x:c r="G93" s="26">
        <x:f>자재단가대비표!N43</x:f>
        <x:v>135112</x:v>
      </x:c>
      <x:c r="H93" s="26">
        <x:f>ROUNDDOWN(D93*G93,1)</x:f>
        <x:v>7160.8999999999996</x:v>
      </x:c>
      <x:c r="I93" s="26"/>
      <x:c r="J93" s="26"/>
      <x:c r="K93" s="26">
        <x:f>E93+G93+I93</x:f>
        <x:v>135112</x:v>
      </x:c>
      <x:c r="L93" s="26">
        <x:f>F93+H93+J93</x:f>
        <x:v>7160.8999999999996</x:v>
      </x:c>
      <x:c r="M93" s="28"/>
      <x:c r="O93" s="20" t="s">
        <x:v>155</x:v>
      </x:c>
      <x:c r="P93" s="20" t="s">
        <x:v>342</x:v>
      </x:c>
      <x:c r="Q93" s="16">
        <x:v>1</x:v>
      </x:c>
    </x:row>
    <x:row r="94" spans="1:17" ht="23.100000000000001" customHeight="1">
      <x:c r="A94" s="23" t="s">
        <x:v>314</x:v>
      </x:c>
      <x:c r="B94" s="23" t="s">
        <x:v>220</x:v>
      </x:c>
      <x:c r="C94" s="24" t="s">
        <x:v>177</x:v>
      </x:c>
      <x:c r="D94" s="26">
        <x:v>0.020000000000000001</x:v>
      </x:c>
      <x:c r="E94" s="26"/>
      <x:c r="F94" s="26"/>
      <x:c r="G94" s="26">
        <x:f>자재단가대비표!N47</x:f>
        <x:v>87805</x:v>
      </x:c>
      <x:c r="H94" s="26">
        <x:f>ROUNDDOWN(D94*G94,1)</x:f>
        <x:v>1756.0999999999999</x:v>
      </x:c>
      <x:c r="I94" s="26"/>
      <x:c r="J94" s="26"/>
      <x:c r="K94" s="26">
        <x:f>E94+G94+I94</x:f>
        <x:v>87805</x:v>
      </x:c>
      <x:c r="L94" s="26">
        <x:f>F94+H94+J94</x:f>
        <x:v>1756.0999999999999</x:v>
      </x:c>
      <x:c r="M94" s="28"/>
      <x:c r="O94" s="20" t="s">
        <x:v>155</x:v>
      </x:c>
      <x:c r="P94" s="20" t="s">
        <x:v>342</x:v>
      </x:c>
      <x:c r="Q94" s="16">
        <x:v>1</x:v>
      </x:c>
    </x:row>
    <x:row r="95" spans="1:13" ht="23.100000000000001" customHeight="1">
      <x:c r="A95" s="24" t="s">
        <x:v>344</x:v>
      </x:c>
      <x:c r="B95" s="29"/>
      <x:c r="C95" s="30"/>
      <x:c r="D95" s="31"/>
      <x:c r="E95" s="31"/>
      <x:c r="F95" s="32">
        <x:f>ROUNDDOWN(SUMIF($Q$91:$Q$94,1,$F$91:$F$94),0)</x:f>
        <x:v>12815</x:v>
      </x:c>
      <x:c r="G95" s="31"/>
      <x:c r="H95" s="32">
        <x:f>ROUNDDOWN(SUMIF($Q$91:$Q$94,1,$H$91:$H$94),0)</x:f>
        <x:v>8917</x:v>
      </x:c>
      <x:c r="I95" s="31"/>
      <x:c r="J95" s="32">
        <x:f>ROUNDDOWN(SUMIF($Q$91:$Q$94,1,$J$91:$J$94),0)</x:f>
        <x:v>0</x:v>
      </x:c>
      <x:c r="K95" s="31"/>
      <x:c r="L95" s="32">
        <x:f>F95+H95+J95</x:f>
        <x:v>21732</x:v>
      </x:c>
      <x:c r="M95" s="28"/>
    </x:row>
    <x:row r="96" spans="1:13" ht="23.100000000000001" customHeight="1">
      <x:c r="A96" s="23" t="s">
        <x:v>509</x:v>
      </x:c>
      <x:c r="B96" s="23" t="s">
        <x:v>220</x:v>
      </x:c>
      <x:c r="C96" s="24" t="s">
        <x:v>100</x:v>
      </x:c>
      <x:c r="D96" s="26"/>
      <x:c r="E96" s="26"/>
      <x:c r="F96" s="26"/>
      <x:c r="G96" s="26"/>
      <x:c r="H96" s="26"/>
      <x:c r="I96" s="26"/>
      <x:c r="J96" s="26"/>
      <x:c r="K96" s="26"/>
      <x:c r="L96" s="26"/>
      <x:c r="M96" s="27" t="s">
        <x:v>220</x:v>
      </x:c>
    </x:row>
    <x:row r="97" spans="1:17" ht="23.100000000000001" customHeight="1">
      <x:c r="A97" s="23" t="s">
        <x:v>190</x:v>
      </x:c>
      <x:c r="B97" s="23" t="s">
        <x:v>220</x:v>
      </x:c>
      <x:c r="C97" s="24" t="s">
        <x:v>208</x:v>
      </x:c>
      <x:c r="D97" s="26">
        <x:v>0.20000000000000001</x:v>
      </x:c>
      <x:c r="E97" s="26">
        <x:f>자재단가대비표!N27</x:f>
        <x:v>1440</x:v>
      </x:c>
      <x:c r="F97" s="26">
        <x:f>ROUNDDOWN(D97*E97,1)</x:f>
        <x:v>288</x:v>
      </x:c>
      <x:c r="G97" s="26"/>
      <x:c r="H97" s="26"/>
      <x:c r="I97" s="26"/>
      <x:c r="J97" s="26"/>
      <x:c r="K97" s="26">
        <x:f>E97+G97+I97</x:f>
        <x:v>1440</x:v>
      </x:c>
      <x:c r="L97" s="26">
        <x:f>F97+H97+J97</x:f>
        <x:v>288</x:v>
      </x:c>
      <x:c r="M97" s="28"/>
      <x:c r="O97" s="20" t="s">
        <x:v>159</x:v>
      </x:c>
      <x:c r="P97" s="20" t="s">
        <x:v>342</x:v>
      </x:c>
      <x:c r="Q97" s="16">
        <x:v>1</x:v>
      </x:c>
    </x:row>
    <x:row r="98" spans="1:17" ht="23.100000000000001" customHeight="1">
      <x:c r="A98" s="23" t="s">
        <x:v>212</x:v>
      </x:c>
      <x:c r="B98" s="23" t="s">
        <x:v>220</x:v>
      </x:c>
      <x:c r="C98" s="24" t="s">
        <x:v>211</x:v>
      </x:c>
      <x:c r="D98" s="26">
        <x:v>0.040000000000000002</x:v>
      </x:c>
      <x:c r="E98" s="26">
        <x:f>자재단가대비표!N11</x:f>
        <x:v>1640</x:v>
      </x:c>
      <x:c r="F98" s="26">
        <x:f>ROUNDDOWN(D98*E98,1)</x:f>
        <x:v>65.599999999999994</x:v>
      </x:c>
      <x:c r="G98" s="26"/>
      <x:c r="H98" s="26"/>
      <x:c r="I98" s="26"/>
      <x:c r="J98" s="26"/>
      <x:c r="K98" s="26">
        <x:f>E98+G98+I98</x:f>
        <x:v>1640</x:v>
      </x:c>
      <x:c r="L98" s="26">
        <x:f>F98+H98+J98</x:f>
        <x:v>65.599999999999994</x:v>
      </x:c>
      <x:c r="M98" s="28"/>
      <x:c r="O98" s="20" t="s">
        <x:v>159</x:v>
      </x:c>
      <x:c r="P98" s="20" t="s">
        <x:v>342</x:v>
      </x:c>
      <x:c r="Q98" s="16">
        <x:v>1</x:v>
      </x:c>
    </x:row>
    <x:row r="99" spans="1:17" ht="23.100000000000001" customHeight="1">
      <x:c r="A99" s="23" t="s">
        <x:v>176</x:v>
      </x:c>
      <x:c r="B99" s="23" t="s">
        <x:v>220</x:v>
      </x:c>
      <x:c r="C99" s="24" t="s">
        <x:v>177</x:v>
      </x:c>
      <x:c r="D99" s="26">
        <x:v>0.047999999999999998</x:v>
      </x:c>
      <x:c r="E99" s="26"/>
      <x:c r="F99" s="26"/>
      <x:c r="G99" s="26">
        <x:f>자재단가대비표!N44</x:f>
        <x:v>122128</x:v>
      </x:c>
      <x:c r="H99" s="26">
        <x:f>ROUNDDOWN(D99*G99,1)</x:f>
        <x:v>5862.1000000000004</x:v>
      </x:c>
      <x:c r="I99" s="26"/>
      <x:c r="J99" s="26"/>
      <x:c r="K99" s="26">
        <x:f>E99+G99+I99</x:f>
        <x:v>122128</x:v>
      </x:c>
      <x:c r="L99" s="26">
        <x:f>F99+H99+J99</x:f>
        <x:v>5862.1000000000004</x:v>
      </x:c>
      <x:c r="M99" s="28"/>
      <x:c r="O99" s="20" t="s">
        <x:v>155</x:v>
      </x:c>
      <x:c r="P99" s="20" t="s">
        <x:v>342</x:v>
      </x:c>
      <x:c r="Q99" s="16">
        <x:v>1</x:v>
      </x:c>
    </x:row>
    <x:row r="100" spans="1:17" ht="23.100000000000001" customHeight="1">
      <x:c r="A100" s="23" t="s">
        <x:v>362</x:v>
      </x:c>
      <x:c r="B100" s="29" t="str">
        <x:f>"노무비의 "&amp;N100*100&amp;"%"</x:f>
        <x:v>노무비의 2%</x:v>
      </x:c>
      <x:c r="C100" s="24" t="s">
        <x:v>160</x:v>
      </x:c>
      <x:c r="D100" s="34" t="s">
        <x:v>158</x:v>
      </x:c>
      <x:c r="E100" s="26">
        <x:f>SUMIF($O$96:O100,"02",$H$96:H100)</x:f>
        <x:v>5862.1000000000004</x:v>
      </x:c>
      <x:c r="F100" s="26">
        <x:f>ROUNDDOWN(E100*N100,1)</x:f>
        <x:v>117.2</x:v>
      </x:c>
      <x:c r="G100" s="26"/>
      <x:c r="H100" s="26"/>
      <x:c r="I100" s="26"/>
      <x:c r="J100" s="26"/>
      <x:c r="K100" s="26">
        <x:f>E100+G100+I100</x:f>
        <x:v>5862.1000000000004</x:v>
      </x:c>
      <x:c r="L100" s="26">
        <x:f>F100+H100+J100</x:f>
        <x:v>117.2</x:v>
      </x:c>
      <x:c r="M100" s="27" t="s">
        <x:v>361</x:v>
      </x:c>
      <x:c r="N100" s="21">
        <x:v>0.020000000000000001</x:v>
      </x:c>
      <x:c r="P100" s="20" t="s">
        <x:v>342</x:v>
      </x:c>
      <x:c r="Q100" s="16">
        <x:v>1</x:v>
      </x:c>
    </x:row>
    <x:row r="101" spans="1:13" ht="23.100000000000001" customHeight="1">
      <x:c r="A101" s="24" t="s">
        <x:v>344</x:v>
      </x:c>
      <x:c r="B101" s="29"/>
      <x:c r="C101" s="30"/>
      <x:c r="D101" s="31"/>
      <x:c r="E101" s="31"/>
      <x:c r="F101" s="32">
        <x:f>ROUNDDOWN(SUMIF($Q$97:$Q$100,1,$F$97:$F$100),0)</x:f>
        <x:v>470</x:v>
      </x:c>
      <x:c r="G101" s="31"/>
      <x:c r="H101" s="32">
        <x:f>ROUNDDOWN(SUMIF($Q$97:$Q$100,1,$H$97:$H$100),0)</x:f>
        <x:v>5862</x:v>
      </x:c>
      <x:c r="I101" s="31"/>
      <x:c r="J101" s="32">
        <x:f>ROUNDDOWN(SUMIF($Q$97:$Q$100,1,$J$97:$J$100),0)</x:f>
        <x:v>0</x:v>
      </x:c>
      <x:c r="K101" s="31"/>
      <x:c r="L101" s="32">
        <x:f>F101+H101+J101</x:f>
        <x:v>6332</x:v>
      </x:c>
      <x:c r="M101" s="28"/>
    </x:row>
    <x:row r="102" spans="1:13" ht="23.100000000000001" customHeight="1">
      <x:c r="A102" s="23" t="s">
        <x:v>60</x:v>
      </x:c>
      <x:c r="B102" s="23" t="s">
        <x:v>377</x:v>
      </x:c>
      <x:c r="C102" s="24" t="s">
        <x:v>100</x:v>
      </x:c>
      <x:c r="D102" s="26"/>
      <x:c r="E102" s="26"/>
      <x:c r="F102" s="26"/>
      <x:c r="G102" s="26"/>
      <x:c r="H102" s="26"/>
      <x:c r="I102" s="26"/>
      <x:c r="J102" s="26"/>
      <x:c r="K102" s="26"/>
      <x:c r="L102" s="26"/>
      <x:c r="M102" s="27" t="s">
        <x:v>62</x:v>
      </x:c>
    </x:row>
    <x:row r="103" spans="1:17" ht="23.100000000000001" customHeight="1">
      <x:c r="A103" s="23" t="s">
        <x:v>314</x:v>
      </x:c>
      <x:c r="B103" s="23" t="s">
        <x:v>220</x:v>
      </x:c>
      <x:c r="C103" s="24" t="s">
        <x:v>177</x:v>
      </x:c>
      <x:c r="D103" s="26">
        <x:v>0.029999999999999999</x:v>
      </x:c>
      <x:c r="E103" s="26"/>
      <x:c r="F103" s="26"/>
      <x:c r="G103" s="26">
        <x:f>자재단가대비표!N47</x:f>
        <x:v>87805</x:v>
      </x:c>
      <x:c r="H103" s="26">
        <x:f>ROUNDDOWN(D103*G103,1)</x:f>
        <x:v>2634.0999999999999</x:v>
      </x:c>
      <x:c r="I103" s="26"/>
      <x:c r="J103" s="26"/>
      <x:c r="K103" s="26">
        <x:f>E103+G103+I103</x:f>
        <x:v>87805</x:v>
      </x:c>
      <x:c r="L103" s="26">
        <x:f>F103+H103+J103</x:f>
        <x:v>2634.0999999999999</x:v>
      </x:c>
      <x:c r="M103" s="28"/>
      <x:c r="O103" s="20" t="s">
        <x:v>155</x:v>
      </x:c>
      <x:c r="P103" s="20" t="s">
        <x:v>342</x:v>
      </x:c>
      <x:c r="Q103" s="16">
        <x:v>1</x:v>
      </x:c>
    </x:row>
    <x:row r="104" spans="1:13" ht="23.100000000000001" customHeight="1">
      <x:c r="A104" s="24" t="s">
        <x:v>344</x:v>
      </x:c>
      <x:c r="B104" s="29"/>
      <x:c r="C104" s="30"/>
      <x:c r="D104" s="31"/>
      <x:c r="E104" s="31"/>
      <x:c r="F104" s="32">
        <x:f>ROUNDDOWN(SUMIF($Q$103:$Q$103,1,$F$103:$F$103),0)</x:f>
        <x:v>0</x:v>
      </x:c>
      <x:c r="G104" s="31"/>
      <x:c r="H104" s="32">
        <x:f>ROUNDDOWN(SUMIF($Q$103:$Q$103,1,$H$103:$H$103),0)</x:f>
        <x:v>2634</x:v>
      </x:c>
      <x:c r="I104" s="31"/>
      <x:c r="J104" s="32">
        <x:f>ROUNDDOWN(SUMIF($Q$103:$Q$103,1,$J$103:$J$103),0)</x:f>
        <x:v>0</x:v>
      </x:c>
      <x:c r="K104" s="31"/>
      <x:c r="L104" s="32">
        <x:f>F104+H104+J104</x:f>
        <x:v>2634</x:v>
      </x:c>
      <x:c r="M104" s="28"/>
    </x:row>
    <x:row r="105" spans="1:13" ht="23.100000000000001" customHeight="1">
      <x:c r="A105" s="23" t="s">
        <x:v>255</x:v>
      </x:c>
      <x:c r="B105" s="23" t="s">
        <x:v>220</x:v>
      </x:c>
      <x:c r="C105" s="24" t="s">
        <x:v>216</x:v>
      </x:c>
      <x:c r="D105" s="26"/>
      <x:c r="E105" s="26"/>
      <x:c r="F105" s="26"/>
      <x:c r="G105" s="26"/>
      <x:c r="H105" s="26"/>
      <x:c r="I105" s="26"/>
      <x:c r="J105" s="26"/>
      <x:c r="K105" s="26"/>
      <x:c r="L105" s="26"/>
      <x:c r="M105" s="27" t="s">
        <x:v>220</x:v>
      </x:c>
    </x:row>
    <x:row r="106" spans="1:17" ht="23.100000000000001" customHeight="1">
      <x:c r="A106" s="23" t="s">
        <x:v>171</x:v>
      </x:c>
      <x:c r="B106" s="23" t="s">
        <x:v>220</x:v>
      </x:c>
      <x:c r="C106" s="24" t="s">
        <x:v>177</x:v>
      </x:c>
      <x:c r="D106" s="26">
        <x:v>0.29999999999999999</x:v>
      </x:c>
      <x:c r="E106" s="26"/>
      <x:c r="F106" s="26"/>
      <x:c r="G106" s="26">
        <x:f>자재단가대비표!N53</x:f>
        <x:v>119672</x:v>
      </x:c>
      <x:c r="H106" s="26">
        <x:f>ROUNDDOWN(D106*G106,1)</x:f>
        <x:v>35901.599999999999</x:v>
      </x:c>
      <x:c r="I106" s="26"/>
      <x:c r="J106" s="26"/>
      <x:c r="K106" s="26">
        <x:f>E106+G106+I106</x:f>
        <x:v>119672</x:v>
      </x:c>
      <x:c r="L106" s="26">
        <x:f>F106+H106+J106</x:f>
        <x:v>35901.599999999999</x:v>
      </x:c>
      <x:c r="M106" s="28"/>
      <x:c r="O106" s="20" t="s">
        <x:v>155</x:v>
      </x:c>
      <x:c r="P106" s="20" t="s">
        <x:v>342</x:v>
      </x:c>
      <x:c r="Q106" s="16">
        <x:v>1</x:v>
      </x:c>
    </x:row>
    <x:row r="107" spans="1:17" ht="23.100000000000001" customHeight="1">
      <x:c r="A107" s="23" t="s">
        <x:v>362</x:v>
      </x:c>
      <x:c r="B107" s="29" t="str">
        <x:f>"노무비의 "&amp;N107*100&amp;"%"</x:f>
        <x:v>노무비의 3%</x:v>
      </x:c>
      <x:c r="C107" s="24" t="s">
        <x:v>160</x:v>
      </x:c>
      <x:c r="D107" s="34" t="s">
        <x:v>158</x:v>
      </x:c>
      <x:c r="E107" s="26">
        <x:f>SUMIF($O$105:O107,"02",$H$105:H107)</x:f>
        <x:v>35901.599999999999</x:v>
      </x:c>
      <x:c r="F107" s="26">
        <x:f>ROUNDDOWN(E107*N107,1)</x:f>
        <x:v>1077</x:v>
      </x:c>
      <x:c r="G107" s="26"/>
      <x:c r="H107" s="26"/>
      <x:c r="I107" s="26"/>
      <x:c r="J107" s="26"/>
      <x:c r="K107" s="26">
        <x:f>E107+G107+I107</x:f>
        <x:v>35901.599999999999</x:v>
      </x:c>
      <x:c r="L107" s="26">
        <x:f>F107+H107+J107</x:f>
        <x:v>1077</x:v>
      </x:c>
      <x:c r="M107" s="28"/>
      <x:c r="N107" s="21">
        <x:v>0.029999999999999999</x:v>
      </x:c>
      <x:c r="P107" s="20" t="s">
        <x:v>342</x:v>
      </x:c>
      <x:c r="Q107" s="16">
        <x:v>1</x:v>
      </x:c>
    </x:row>
    <x:row r="108" spans="1:13" ht="23.100000000000001" customHeight="1">
      <x:c r="A108" s="24" t="s">
        <x:v>344</x:v>
      </x:c>
      <x:c r="B108" s="29"/>
      <x:c r="C108" s="30"/>
      <x:c r="D108" s="31"/>
      <x:c r="E108" s="31"/>
      <x:c r="F108" s="32">
        <x:f>ROUNDDOWN(SUMIF($Q$106:$Q$107,1,$F$106:$F$107),0)</x:f>
        <x:v>1077</x:v>
      </x:c>
      <x:c r="G108" s="31"/>
      <x:c r="H108" s="32">
        <x:f>ROUNDDOWN(SUMIF($Q$106:$Q$107,1,$H$106:$H$107),0)</x:f>
        <x:v>35901</x:v>
      </x:c>
      <x:c r="I108" s="31"/>
      <x:c r="J108" s="32">
        <x:f>ROUNDDOWN(SUMIF($Q$106:$Q$107,1,$J$106:$J$107),0)</x:f>
        <x:v>0</x:v>
      </x:c>
      <x:c r="K108" s="31"/>
      <x:c r="L108" s="32">
        <x:f>F108+H108+J108</x:f>
        <x:v>36978</x:v>
      </x:c>
      <x:c r="M108" s="28"/>
    </x:row>
    <x:row r="109" spans="1:13" ht="23.100000000000001" customHeight="1">
      <x:c r="A109" s="23" t="s">
        <x:v>510</x:v>
      </x:c>
      <x:c r="B109" s="23" t="s">
        <x:v>220</x:v>
      </x:c>
      <x:c r="C109" s="24" t="s">
        <x:v>100</x:v>
      </x:c>
      <x:c r="D109" s="26"/>
      <x:c r="E109" s="26"/>
      <x:c r="F109" s="26"/>
      <x:c r="G109" s="26"/>
      <x:c r="H109" s="26"/>
      <x:c r="I109" s="26"/>
      <x:c r="J109" s="26"/>
      <x:c r="K109" s="26"/>
      <x:c r="L109" s="26"/>
      <x:c r="M109" s="27" t="s">
        <x:v>220</x:v>
      </x:c>
    </x:row>
    <x:row r="110" spans="1:17" ht="23.100000000000001" customHeight="1">
      <x:c r="A110" s="23" t="s">
        <x:v>64</x:v>
      </x:c>
      <x:c r="B110" s="23" t="s">
        <x:v>151</x:v>
      </x:c>
      <x:c r="C110" s="24" t="s">
        <x:v>169</x:v>
      </x:c>
      <x:c r="D110" s="26">
        <x:v>0.0041700000000000004</x:v>
      </x:c>
      <x:c r="E110" s="26">
        <x:f>일위대가표!F123</x:f>
        <x:v>227301</x:v>
      </x:c>
      <x:c r="F110" s="26">
        <x:f>ROUNDDOWN(D110*E110,1)</x:f>
        <x:v>947.79999999999995</x:v>
      </x:c>
      <x:c r="G110" s="26">
        <x:f>일위대가표!H123</x:f>
        <x:v>4329651</x:v>
      </x:c>
      <x:c r="H110" s="26">
        <x:f>ROUNDDOWN(D110*G110,1)</x:f>
        <x:v>18054.599999999999</x:v>
      </x:c>
      <x:c r="I110" s="26">
        <x:f>일위대가표!J123</x:f>
        <x:v>10306</x:v>
      </x:c>
      <x:c r="J110" s="26">
        <x:f>ROUNDDOWN(D110*I110,1)</x:f>
        <x:v>42.899999999999999</x:v>
      </x:c>
      <x:c r="K110" s="26">
        <x:f>E110+G110+I110</x:f>
        <x:v>4567258</x:v>
      </x:c>
      <x:c r="L110" s="26">
        <x:f>F110+H110+J110</x:f>
        <x:v>19045.299999999999</x:v>
      </x:c>
      <x:c r="M110" s="27" t="s">
        <x:v>380</x:v>
      </x:c>
      <x:c r="P110" s="20" t="s">
        <x:v>342</x:v>
      </x:c>
      <x:c r="Q110" s="16">
        <x:v>1</x:v>
      </x:c>
    </x:row>
    <x:row r="111" spans="1:13" ht="23.100000000000001" customHeight="1">
      <x:c r="A111" s="24" t="s">
        <x:v>344</x:v>
      </x:c>
      <x:c r="B111" s="29"/>
      <x:c r="C111" s="30"/>
      <x:c r="D111" s="31"/>
      <x:c r="E111" s="31"/>
      <x:c r="F111" s="32">
        <x:f>ROUNDDOWN(SUMIF($Q$110:$Q$110,1,$F$110:$F$110),0)</x:f>
        <x:v>947</x:v>
      </x:c>
      <x:c r="G111" s="31"/>
      <x:c r="H111" s="32">
        <x:f>ROUNDDOWN(SUMIF($Q$110:$Q$110,1,$H$110:$H$110),0)</x:f>
        <x:v>18054</x:v>
      </x:c>
      <x:c r="I111" s="31"/>
      <x:c r="J111" s="32">
        <x:f>ROUNDDOWN(SUMIF($Q$110:$Q$110,1,$J$110:$J$110),0)</x:f>
        <x:v>42</x:v>
      </x:c>
      <x:c r="K111" s="31"/>
      <x:c r="L111" s="32">
        <x:f>F111+H111+J111</x:f>
        <x:v>19043</x:v>
      </x:c>
      <x:c r="M111" s="28"/>
    </x:row>
    <x:row r="112" spans="1:13" ht="23.100000000000001" customHeight="1">
      <x:c r="A112" s="23" t="s">
        <x:v>254</x:v>
      </x:c>
      <x:c r="B112" s="23" t="s">
        <x:v>151</x:v>
      </x:c>
      <x:c r="C112" s="24" t="s">
        <x:v>169</x:v>
      </x:c>
      <x:c r="D112" s="26"/>
      <x:c r="E112" s="26"/>
      <x:c r="F112" s="26"/>
      <x:c r="G112" s="26"/>
      <x:c r="H112" s="26"/>
      <x:c r="I112" s="26"/>
      <x:c r="J112" s="26"/>
      <x:c r="K112" s="26"/>
      <x:c r="L112" s="26"/>
      <x:c r="M112" s="27" t="s">
        <x:v>382</x:v>
      </x:c>
    </x:row>
    <x:row r="113" spans="1:17" ht="23.100000000000001" customHeight="1">
      <x:c r="A113" s="23" t="s">
        <x:v>28</x:v>
      </x:c>
      <x:c r="B113" s="23" t="s">
        <x:v>29</x:v>
      </x:c>
      <x:c r="C113" s="24" t="s">
        <x:v>211</x:v>
      </x:c>
      <x:c r="D113" s="26">
        <x:v>18.48</x:v>
      </x:c>
      <x:c r="E113" s="26">
        <x:f>자재단가대비표!N33</x:f>
        <x:v>3150</x:v>
      </x:c>
      <x:c r="F113" s="26">
        <x:f>ROUNDDOWN(D113*E113,1)</x:f>
        <x:v>58212</x:v>
      </x:c>
      <x:c r="G113" s="26"/>
      <x:c r="H113" s="26"/>
      <x:c r="I113" s="26"/>
      <x:c r="J113" s="26"/>
      <x:c r="K113" s="26">
        <x:f>E113+G113+I113</x:f>
        <x:v>3150</x:v>
      </x:c>
      <x:c r="L113" s="26">
        <x:f>F113+H113+J113</x:f>
        <x:v>58212</x:v>
      </x:c>
      <x:c r="M113" s="28"/>
      <x:c r="O113" s="20" t="s">
        <x:v>159</x:v>
      </x:c>
      <x:c r="P113" s="20" t="s">
        <x:v>342</x:v>
      </x:c>
      <x:c r="Q113" s="16">
        <x:v>1</x:v>
      </x:c>
    </x:row>
    <x:row r="114" spans="1:17" ht="23.100000000000001" customHeight="1">
      <x:c r="A114" s="23" t="s">
        <x:v>199</x:v>
      </x:c>
      <x:c r="B114" s="23" t="s">
        <x:v>284</x:v>
      </x:c>
      <x:c r="C114" s="24" t="s">
        <x:v>208</x:v>
      </x:c>
      <x:c r="D114" s="26">
        <x:v>6300</x:v>
      </x:c>
      <x:c r="E114" s="26">
        <x:f>자재단가대비표!N20</x:f>
        <x:v>2</x:v>
      </x:c>
      <x:c r="F114" s="26">
        <x:f>ROUNDDOWN(D114*E114,1)</x:f>
        <x:v>12600</x:v>
      </x:c>
      <x:c r="G114" s="26"/>
      <x:c r="H114" s="26"/>
      <x:c r="I114" s="26"/>
      <x:c r="J114" s="26"/>
      <x:c r="K114" s="26">
        <x:f>E114+G114+I114</x:f>
        <x:v>2</x:v>
      </x:c>
      <x:c r="L114" s="26">
        <x:f>F114+H114+J114</x:f>
        <x:v>12600</x:v>
      </x:c>
      <x:c r="M114" s="28"/>
      <x:c r="O114" s="20" t="s">
        <x:v>159</x:v>
      </x:c>
      <x:c r="P114" s="20" t="s">
        <x:v>342</x:v>
      </x:c>
      <x:c r="Q114" s="16">
        <x:v>1</x:v>
      </x:c>
    </x:row>
    <x:row r="115" spans="1:17" ht="23.100000000000001" customHeight="1">
      <x:c r="A115" s="23" t="s">
        <x:v>294</x:v>
      </x:c>
      <x:c r="B115" s="23" t="s">
        <x:v>220</x:v>
      </x:c>
      <x:c r="C115" s="24" t="s">
        <x:v>211</x:v>
      </x:c>
      <x:c r="D115" s="26">
        <x:v>2.7999999999999998</x:v>
      </x:c>
      <x:c r="E115" s="26">
        <x:f>자재단가대비표!N28</x:f>
        <x:v>9500</x:v>
      </x:c>
      <x:c r="F115" s="26">
        <x:f>ROUNDDOWN(D115*E115,1)</x:f>
        <x:v>26600</x:v>
      </x:c>
      <x:c r="G115" s="26"/>
      <x:c r="H115" s="26"/>
      <x:c r="I115" s="26"/>
      <x:c r="J115" s="26"/>
      <x:c r="K115" s="26">
        <x:f>E115+G115+I115</x:f>
        <x:v>9500</x:v>
      </x:c>
      <x:c r="L115" s="26">
        <x:f>F115+H115+J115</x:f>
        <x:v>26600</x:v>
      </x:c>
      <x:c r="M115" s="27" t="s">
        <x:v>297</x:v>
      </x:c>
      <x:c r="O115" s="20" t="s">
        <x:v>159</x:v>
      </x:c>
      <x:c r="P115" s="20" t="s">
        <x:v>342</x:v>
      </x:c>
      <x:c r="Q115" s="16">
        <x:v>1</x:v>
      </x:c>
    </x:row>
    <x:row r="116" spans="1:17" ht="23.100000000000001" customHeight="1">
      <x:c r="A116" s="23" t="s">
        <x:v>170</x:v>
      </x:c>
      <x:c r="B116" s="23" t="s">
        <x:v>220</x:v>
      </x:c>
      <x:c r="C116" s="24" t="s">
        <x:v>177</x:v>
      </x:c>
      <x:c r="D116" s="26">
        <x:v>27.649999999999999</x:v>
      </x:c>
      <x:c r="E116" s="26"/>
      <x:c r="F116" s="26"/>
      <x:c r="G116" s="26">
        <x:f>자재단가대비표!N51</x:f>
        <x:v>138946</x:v>
      </x:c>
      <x:c r="H116" s="26">
        <x:f>ROUNDDOWN(D116*G116,1)</x:f>
        <x:v>3841856.8999999999</x:v>
      </x:c>
      <x:c r="I116" s="26"/>
      <x:c r="J116" s="26"/>
      <x:c r="K116" s="26">
        <x:f>E116+G116+I116</x:f>
        <x:v>138946</x:v>
      </x:c>
      <x:c r="L116" s="26">
        <x:f>F116+H116+J116</x:f>
        <x:v>3841856.8999999999</x:v>
      </x:c>
      <x:c r="M116" s="28"/>
      <x:c r="O116" s="20" t="s">
        <x:v>155</x:v>
      </x:c>
      <x:c r="P116" s="20" t="s">
        <x:v>342</x:v>
      </x:c>
      <x:c r="Q116" s="16">
        <x:v>1</x:v>
      </x:c>
    </x:row>
    <x:row r="117" spans="1:17" ht="23.100000000000001" customHeight="1">
      <x:c r="A117" s="23" t="s">
        <x:v>314</x:v>
      </x:c>
      <x:c r="B117" s="23" t="s">
        <x:v>220</x:v>
      </x:c>
      <x:c r="C117" s="24" t="s">
        <x:v>177</x:v>
      </x:c>
      <x:c r="D117" s="26">
        <x:v>0.66000000000000003</x:v>
      </x:c>
      <x:c r="E117" s="26"/>
      <x:c r="F117" s="26"/>
      <x:c r="G117" s="26">
        <x:f>자재단가대비표!N47</x:f>
        <x:v>87805</x:v>
      </x:c>
      <x:c r="H117" s="26">
        <x:f>ROUNDDOWN(D117*G117,1)</x:f>
        <x:v>57951.300000000003</x:v>
      </x:c>
      <x:c r="I117" s="26"/>
      <x:c r="J117" s="26"/>
      <x:c r="K117" s="26">
        <x:f>E117+G117+I117</x:f>
        <x:v>87805</x:v>
      </x:c>
      <x:c r="L117" s="26">
        <x:f>F117+H117+J117</x:f>
        <x:v>57951.300000000003</x:v>
      </x:c>
      <x:c r="M117" s="28"/>
      <x:c r="O117" s="20" t="s">
        <x:v>155</x:v>
      </x:c>
      <x:c r="P117" s="20" t="s">
        <x:v>342</x:v>
      </x:c>
      <x:c r="Q117" s="16">
        <x:v>1</x:v>
      </x:c>
    </x:row>
    <x:row r="118" spans="1:17" ht="23.100000000000001" customHeight="1">
      <x:c r="A118" s="23" t="s">
        <x:v>172</x:v>
      </x:c>
      <x:c r="B118" s="23" t="s">
        <x:v>220</x:v>
      </x:c>
      <x:c r="C118" s="24" t="s">
        <x:v>177</x:v>
      </x:c>
      <x:c r="D118" s="26">
        <x:v>2.6000000000000001</x:v>
      </x:c>
      <x:c r="E118" s="26"/>
      <x:c r="F118" s="26"/>
      <x:c r="G118" s="26">
        <x:f>자재단가대비표!N49</x:f>
        <x:v>134516</x:v>
      </x:c>
      <x:c r="H118" s="26">
        <x:f>ROUNDDOWN(D118*G118,1)</x:f>
        <x:v>349741.59999999998</x:v>
      </x:c>
      <x:c r="I118" s="26"/>
      <x:c r="J118" s="26"/>
      <x:c r="K118" s="26">
        <x:f>E118+G118+I118</x:f>
        <x:v>134516</x:v>
      </x:c>
      <x:c r="L118" s="26">
        <x:f>F118+H118+J118</x:f>
        <x:v>349741.59999999998</x:v>
      </x:c>
      <x:c r="M118" s="27" t="s">
        <x:v>316</x:v>
      </x:c>
      <x:c r="O118" s="20" t="s">
        <x:v>155</x:v>
      </x:c>
      <x:c r="P118" s="20" t="s">
        <x:v>342</x:v>
      </x:c>
      <x:c r="Q118" s="16">
        <x:v>1</x:v>
      </x:c>
    </x:row>
    <x:row r="119" spans="1:17" ht="23.100000000000001" customHeight="1">
      <x:c r="A119" s="23" t="s">
        <x:v>319</x:v>
      </x:c>
      <x:c r="B119" s="23" t="s">
        <x:v>220</x:v>
      </x:c>
      <x:c r="C119" s="24" t="s">
        <x:v>177</x:v>
      </x:c>
      <x:c r="D119" s="26">
        <x:v>0.73999999999999999</x:v>
      </x:c>
      <x:c r="E119" s="26"/>
      <x:c r="F119" s="26"/>
      <x:c r="G119" s="26">
        <x:f>자재단가대비표!N52</x:f>
        <x:v>108245</x:v>
      </x:c>
      <x:c r="H119" s="26">
        <x:f>ROUNDDOWN(D119*G119,1)</x:f>
        <x:v>80101.300000000003</x:v>
      </x:c>
      <x:c r="I119" s="26"/>
      <x:c r="J119" s="26"/>
      <x:c r="K119" s="26">
        <x:f>E119+G119+I119</x:f>
        <x:v>108245</x:v>
      </x:c>
      <x:c r="L119" s="26">
        <x:f>F119+H119+J119</x:f>
        <x:v>80101.300000000003</x:v>
      </x:c>
      <x:c r="M119" s="28"/>
      <x:c r="O119" s="20" t="s">
        <x:v>155</x:v>
      </x:c>
      <x:c r="P119" s="20" t="s">
        <x:v>342</x:v>
      </x:c>
      <x:c r="Q119" s="16">
        <x:v>1</x:v>
      </x:c>
    </x:row>
    <x:row r="120" spans="1:17" ht="23.100000000000001" customHeight="1">
      <x:c r="A120" s="23" t="s">
        <x:v>362</x:v>
      </x:c>
      <x:c r="B120" s="29" t="str">
        <x:f>"노무비의 "&amp;N120*100&amp;"%"</x:f>
        <x:v>노무비의 3%</x:v>
      </x:c>
      <x:c r="C120" s="24" t="s">
        <x:v>160</x:v>
      </x:c>
      <x:c r="D120" s="34" t="s">
        <x:v>158</x:v>
      </x:c>
      <x:c r="E120" s="26">
        <x:f>SUMIF($O$112:O122,"02",$H$112:H122)</x:f>
        <x:v>4329651.0999999996</x:v>
      </x:c>
      <x:c r="F120" s="26">
        <x:f>ROUNDDOWN(E120*N120,1)</x:f>
        <x:v>129889.5</x:v>
      </x:c>
      <x:c r="G120" s="26"/>
      <x:c r="H120" s="26"/>
      <x:c r="I120" s="26"/>
      <x:c r="J120" s="26"/>
      <x:c r="K120" s="26">
        <x:f>E120+G120+I120</x:f>
        <x:v>4329651.0999999996</x:v>
      </x:c>
      <x:c r="L120" s="26">
        <x:f>F120+H120+J120</x:f>
        <x:v>129889.5</x:v>
      </x:c>
      <x:c r="M120" s="27" t="s">
        <x:v>361</x:v>
      </x:c>
      <x:c r="N120" s="21">
        <x:v>0.029999999999999999</x:v>
      </x:c>
      <x:c r="P120" s="20" t="s">
        <x:v>342</x:v>
      </x:c>
      <x:c r="Q120" s="16">
        <x:v>1</x:v>
      </x:c>
    </x:row>
    <x:row r="121" spans="1:17" ht="23.100000000000001" customHeight="1">
      <x:c r="A121" s="23" t="s">
        <x:v>12</x:v>
      </x:c>
      <x:c r="B121" s="23" t="s">
        <x:v>327</x:v>
      </x:c>
      <x:c r="C121" s="24" t="s">
        <x:v>165</x:v>
      </x:c>
      <x:c r="D121" s="26">
        <x:v>20.829999999999998</x:v>
      </x:c>
      <x:c r="E121" s="26"/>
      <x:c r="F121" s="26"/>
      <x:c r="G121" s="26"/>
      <x:c r="H121" s="26"/>
      <x:c r="I121" s="26">
        <x:f>중기경비!J40</x:f>
        <x:v>124</x:v>
      </x:c>
      <x:c r="J121" s="26">
        <x:f>ROUNDDOWN(D121*I121,1)</x:f>
        <x:v>2582.9000000000001</x:v>
      </x:c>
      <x:c r="K121" s="26">
        <x:f>E121+G121+I121</x:f>
        <x:v>124</x:v>
      </x:c>
      <x:c r="L121" s="26">
        <x:f>F121+H121+J121</x:f>
        <x:v>2582.9000000000001</x:v>
      </x:c>
      <x:c r="M121" s="27" t="s">
        <x:v>356</x:v>
      </x:c>
      <x:c r="P121" s="20" t="s">
        <x:v>342</x:v>
      </x:c>
      <x:c r="Q121" s="16">
        <x:v>1</x:v>
      </x:c>
    </x:row>
    <x:row r="122" spans="1:17" ht="23.100000000000001" customHeight="1">
      <x:c r="A122" s="23" t="s">
        <x:v>185</x:v>
      </x:c>
      <x:c r="B122" s="23" t="s">
        <x:v>220</x:v>
      </x:c>
      <x:c r="C122" s="24" t="s">
        <x:v>184</x:v>
      </x:c>
      <x:c r="D122" s="26">
        <x:v>126</x:v>
      </x:c>
      <x:c r="E122" s="26"/>
      <x:c r="F122" s="26"/>
      <x:c r="G122" s="26"/>
      <x:c r="H122" s="26"/>
      <x:c r="I122" s="26">
        <x:f>ROUNDDOWN(자재단가대비표!N61,2)</x:f>
        <x:v>61.299999999999997</x:v>
      </x:c>
      <x:c r="J122" s="26">
        <x:f>ROUNDDOWN(D122*I122,1)</x:f>
        <x:v>7723.8000000000002</x:v>
      </x:c>
      <x:c r="K122" s="26">
        <x:f>E122+G122+I122</x:f>
        <x:v>61.299999999999997</x:v>
      </x:c>
      <x:c r="L122" s="26">
        <x:f>F122+H122+J122</x:f>
        <x:v>7723.8000000000002</x:v>
      </x:c>
      <x:c r="M122" s="28"/>
      <x:c r="O122" s="20" t="s">
        <x:v>164</x:v>
      </x:c>
      <x:c r="P122" s="20" t="s">
        <x:v>342</x:v>
      </x:c>
      <x:c r="Q122" s="16">
        <x:v>1</x:v>
      </x:c>
    </x:row>
    <x:row r="123" spans="1:13" ht="23.100000000000001" customHeight="1">
      <x:c r="A123" s="24" t="s">
        <x:v>344</x:v>
      </x:c>
      <x:c r="B123" s="29"/>
      <x:c r="C123" s="30"/>
      <x:c r="D123" s="31"/>
      <x:c r="E123" s="31"/>
      <x:c r="F123" s="32">
        <x:f>ROUNDDOWN(SUMIF($Q$113:$Q$122,1,$F$113:$F$122),0)</x:f>
        <x:v>227301</x:v>
      </x:c>
      <x:c r="G123" s="31"/>
      <x:c r="H123" s="32">
        <x:f>ROUNDDOWN(SUMIF($Q$113:$Q$122,1,$H$113:$H$122),0)</x:f>
        <x:v>4329651</x:v>
      </x:c>
      <x:c r="I123" s="31"/>
      <x:c r="J123" s="32">
        <x:f>ROUNDDOWN(SUMIF($Q$113:$Q$122,1,$J$113:$J$122),0)</x:f>
        <x:v>10306</x:v>
      </x:c>
      <x:c r="K123" s="31"/>
      <x:c r="L123" s="32">
        <x:f>F123+H123+J123</x:f>
        <x:v>4567258</x:v>
      </x:c>
      <x:c r="M123" s="28"/>
    </x:row>
    <x:row r="124" spans="1:13" ht="23.100000000000001" customHeight="1">
      <x:c r="A124" s="23" t="s">
        <x:v>540</x:v>
      </x:c>
      <x:c r="B124" s="23" t="s">
        <x:v>63</x:v>
      </x:c>
      <x:c r="C124" s="24" t="s">
        <x:v>218</x:v>
      </x:c>
      <x:c r="D124" s="26"/>
      <x:c r="E124" s="26"/>
      <x:c r="F124" s="26"/>
      <x:c r="G124" s="26"/>
      <x:c r="H124" s="26"/>
      <x:c r="I124" s="26"/>
      <x:c r="J124" s="26"/>
      <x:c r="K124" s="26"/>
      <x:c r="L124" s="26"/>
      <x:c r="M124" s="27" t="s">
        <x:v>65</x:v>
      </x:c>
    </x:row>
    <x:row r="125" spans="1:17" ht="23.100000000000001" customHeight="1">
      <x:c r="A125" s="23" t="s">
        <x:v>310</x:v>
      </x:c>
      <x:c r="B125" s="23" t="s">
        <x:v>26</x:v>
      </x:c>
      <x:c r="C125" s="24" t="s">
        <x:v>216</x:v>
      </x:c>
      <x:c r="D125" s="26">
        <x:v>0.84999999999999998</x:v>
      </x:c>
      <x:c r="E125" s="26">
        <x:f>자재단가대비표!N35</x:f>
        <x:v>1690</x:v>
      </x:c>
      <x:c r="F125" s="26">
        <x:f>ROUNDDOWN(D125*E125,1)</x:f>
        <x:v>1436.5</x:v>
      </x:c>
      <x:c r="G125" s="26"/>
      <x:c r="H125" s="26"/>
      <x:c r="I125" s="26"/>
      <x:c r="J125" s="26"/>
      <x:c r="K125" s="26">
        <x:f>E125+G125+I125</x:f>
        <x:v>1690</x:v>
      </x:c>
      <x:c r="L125" s="26">
        <x:f>F125+H125+J125</x:f>
        <x:v>1436.5</x:v>
      </x:c>
      <x:c r="M125" s="28"/>
      <x:c r="O125" s="20" t="s">
        <x:v>159</x:v>
      </x:c>
      <x:c r="P125" s="20" t="s">
        <x:v>342</x:v>
      </x:c>
      <x:c r="Q125" s="16">
        <x:v>1</x:v>
      </x:c>
    </x:row>
    <x:row r="126" spans="1:17" ht="23.100000000000001" customHeight="1">
      <x:c r="A126" s="23" t="s">
        <x:v>174</x:v>
      </x:c>
      <x:c r="B126" s="23" t="s">
        <x:v>220</x:v>
      </x:c>
      <x:c r="C126" s="24" t="s">
        <x:v>177</x:v>
      </x:c>
      <x:c r="D126" s="26">
        <x:v>0.1232</x:v>
      </x:c>
      <x:c r="E126" s="26"/>
      <x:c r="F126" s="26"/>
      <x:c r="G126" s="26">
        <x:f>자재단가대비표!N46</x:f>
        <x:v>116622</x:v>
      </x:c>
      <x:c r="H126" s="26">
        <x:f>ROUNDDOWN(D126*G126,1)</x:f>
        <x:v>14367.799999999999</x:v>
      </x:c>
      <x:c r="I126" s="26"/>
      <x:c r="J126" s="26"/>
      <x:c r="K126" s="26">
        <x:f>E126+G126+I126</x:f>
        <x:v>116622</x:v>
      </x:c>
      <x:c r="L126" s="26">
        <x:f>F126+H126+J126</x:f>
        <x:v>14367.799999999999</x:v>
      </x:c>
      <x:c r="M126" s="28"/>
      <x:c r="O126" s="20" t="s">
        <x:v>155</x:v>
      </x:c>
      <x:c r="P126" s="20" t="s">
        <x:v>342</x:v>
      </x:c>
      <x:c r="Q126" s="16">
        <x:v>1</x:v>
      </x:c>
    </x:row>
    <x:row r="127" spans="1:13" ht="23.100000000000001" customHeight="1">
      <x:c r="A127" s="24" t="s">
        <x:v>344</x:v>
      </x:c>
      <x:c r="B127" s="29"/>
      <x:c r="C127" s="30"/>
      <x:c r="D127" s="31"/>
      <x:c r="E127" s="31"/>
      <x:c r="F127" s="32">
        <x:f>ROUNDDOWN(SUMIF($Q$125:$Q$126,1,$F$125:$F$126),0)</x:f>
        <x:v>1436</x:v>
      </x:c>
      <x:c r="G127" s="31"/>
      <x:c r="H127" s="32">
        <x:f>ROUNDDOWN(SUMIF($Q$125:$Q$126,1,$H$125:$H$126),0)</x:f>
        <x:v>14367</x:v>
      </x:c>
      <x:c r="I127" s="31"/>
      <x:c r="J127" s="32">
        <x:f>ROUNDDOWN(SUMIF($Q$125:$Q$126,1,$J$125:$J$126),0)</x:f>
        <x:v>0</x:v>
      </x:c>
      <x:c r="K127" s="31"/>
      <x:c r="L127" s="32">
        <x:f>F127+H127+J127</x:f>
        <x:v>15803</x:v>
      </x:c>
      <x:c r="M127" s="28"/>
    </x:row>
    <x:row r="128" spans="1:13" ht="23.100000000000001" customHeight="1">
      <x:c r="A128" s="23" t="s">
        <x:v>541</x:v>
      </x:c>
      <x:c r="B128" s="23" t="s">
        <x:v>505</x:v>
      </x:c>
      <x:c r="C128" s="24" t="s">
        <x:v>216</x:v>
      </x:c>
      <x:c r="D128" s="26"/>
      <x:c r="E128" s="26"/>
      <x:c r="F128" s="26"/>
      <x:c r="G128" s="26"/>
      <x:c r="H128" s="26"/>
      <x:c r="I128" s="26"/>
      <x:c r="J128" s="26"/>
      <x:c r="K128" s="26"/>
      <x:c r="L128" s="26"/>
      <x:c r="M128" s="27" t="s">
        <x:v>220</x:v>
      </x:c>
    </x:row>
    <x:row r="129" spans="1:17" ht="23.100000000000001" customHeight="1">
      <x:c r="A129" s="23" t="s">
        <x:v>379</x:v>
      </x:c>
      <x:c r="B129" s="23" t="s">
        <x:v>508</x:v>
      </x:c>
      <x:c r="C129" s="24" t="s">
        <x:v>150</x:v>
      </x:c>
      <x:c r="D129" s="26">
        <x:v>1</x:v>
      </x:c>
      <x:c r="E129" s="26">
        <x:f>일위대가표!F137</x:f>
        <x:v>4037</x:v>
      </x:c>
      <x:c r="F129" s="26">
        <x:f>ROUNDDOWN(D129*E129,1)</x:f>
        <x:v>4037</x:v>
      </x:c>
      <x:c r="G129" s="26">
        <x:f>일위대가표!H137</x:f>
        <x:v>16255</x:v>
      </x:c>
      <x:c r="H129" s="26">
        <x:f>ROUNDDOWN(D129*G129,1)</x:f>
        <x:v>16255</x:v>
      </x:c>
      <x:c r="I129" s="26"/>
      <x:c r="J129" s="26"/>
      <x:c r="K129" s="26">
        <x:f>E129+G129+I129</x:f>
        <x:v>20292</x:v>
      </x:c>
      <x:c r="L129" s="26">
        <x:f>F129+H129+J129</x:f>
        <x:v>20292</x:v>
      </x:c>
      <x:c r="M129" s="27" t="s">
        <x:v>381</x:v>
      </x:c>
      <x:c r="P129" s="20" t="s">
        <x:v>342</x:v>
      </x:c>
      <x:c r="Q129" s="16">
        <x:v>1</x:v>
      </x:c>
    </x:row>
    <x:row r="130" spans="1:17" ht="23.100000000000001" customHeight="1">
      <x:c r="A130" s="23" t="s">
        <x:v>174</x:v>
      </x:c>
      <x:c r="B130" s="23" t="s">
        <x:v>220</x:v>
      </x:c>
      <x:c r="C130" s="24" t="s">
        <x:v>177</x:v>
      </x:c>
      <x:c r="D130" s="26">
        <x:v>0.10000000000000001</x:v>
      </x:c>
      <x:c r="E130" s="26"/>
      <x:c r="F130" s="26"/>
      <x:c r="G130" s="26">
        <x:f>자재단가대비표!N46</x:f>
        <x:v>116622</x:v>
      </x:c>
      <x:c r="H130" s="26">
        <x:f>ROUNDDOWN(D130*G130,1)</x:f>
        <x:v>11662.200000000001</x:v>
      </x:c>
      <x:c r="I130" s="26"/>
      <x:c r="J130" s="26"/>
      <x:c r="K130" s="26">
        <x:f>E130+G130+I130</x:f>
        <x:v>116622</x:v>
      </x:c>
      <x:c r="L130" s="26">
        <x:f>F130+H130+J130</x:f>
        <x:v>11662.200000000001</x:v>
      </x:c>
      <x:c r="M130" s="28"/>
      <x:c r="O130" s="20" t="s">
        <x:v>155</x:v>
      </x:c>
      <x:c r="P130" s="20" t="s">
        <x:v>342</x:v>
      </x:c>
      <x:c r="Q130" s="16">
        <x:v>1</x:v>
      </x:c>
    </x:row>
    <x:row r="131" spans="1:13" ht="23.100000000000001" customHeight="1">
      <x:c r="A131" s="24" t="s">
        <x:v>344</x:v>
      </x:c>
      <x:c r="B131" s="29"/>
      <x:c r="C131" s="30"/>
      <x:c r="D131" s="31"/>
      <x:c r="E131" s="31"/>
      <x:c r="F131" s="32">
        <x:f>ROUNDDOWN(SUMIF($Q$129:$Q$130,1,$F$129:$F$130),0)</x:f>
        <x:v>4037</x:v>
      </x:c>
      <x:c r="G131" s="31"/>
      <x:c r="H131" s="32">
        <x:f>ROUNDDOWN(SUMIF($Q$129:$Q$130,1,$H$129:$H$130),0)</x:f>
        <x:v>27917</x:v>
      </x:c>
      <x:c r="I131" s="31"/>
      <x:c r="J131" s="32">
        <x:f>ROUNDDOWN(SUMIF($Q$129:$Q$130,1,$J$129:$J$130),0)</x:f>
        <x:v>0</x:v>
      </x:c>
      <x:c r="K131" s="31"/>
      <x:c r="L131" s="32">
        <x:f>F131+H131+J131</x:f>
        <x:v>31954</x:v>
      </x:c>
      <x:c r="M131" s="28"/>
    </x:row>
    <x:row r="132" spans="1:13" ht="23.100000000000001" customHeight="1">
      <x:c r="A132" s="23" t="s">
        <x:v>511</x:v>
      </x:c>
      <x:c r="B132" s="23" t="s">
        <x:v>508</x:v>
      </x:c>
      <x:c r="C132" s="24" t="s">
        <x:v>150</x:v>
      </x:c>
      <x:c r="D132" s="26"/>
      <x:c r="E132" s="26"/>
      <x:c r="F132" s="26"/>
      <x:c r="G132" s="26"/>
      <x:c r="H132" s="26"/>
      <x:c r="I132" s="26"/>
      <x:c r="J132" s="26"/>
      <x:c r="K132" s="26"/>
      <x:c r="L132" s="26"/>
      <x:c r="M132" s="27" t="s">
        <x:v>66</x:v>
      </x:c>
    </x:row>
    <x:row r="133" spans="1:17" ht="23.100000000000001" customHeight="1">
      <x:c r="A133" s="23" t="s">
        <x:v>275</x:v>
      </x:c>
      <x:c r="B133" s="23" t="s">
        <x:v>37</x:v>
      </x:c>
      <x:c r="C133" s="24" t="s">
        <x:v>216</x:v>
      </x:c>
      <x:c r="D133" s="26">
        <x:v>1</x:v>
      </x:c>
      <x:c r="E133" s="26">
        <x:f>자재단가대비표!N10</x:f>
        <x:v>3550</x:v>
      </x:c>
      <x:c r="F133" s="26">
        <x:f>ROUNDDOWN(D133*E133,1)</x:f>
        <x:v>3550</x:v>
      </x:c>
      <x:c r="G133" s="26"/>
      <x:c r="H133" s="26"/>
      <x:c r="I133" s="26"/>
      <x:c r="J133" s="26"/>
      <x:c r="K133" s="26">
        <x:f>E133+G133+I133</x:f>
        <x:v>3550</x:v>
      </x:c>
      <x:c r="L133" s="26">
        <x:f>F133+H133+J133</x:f>
        <x:v>3550</x:v>
      </x:c>
      <x:c r="M133" s="28"/>
      <x:c r="O133" s="20" t="s">
        <x:v>159</x:v>
      </x:c>
      <x:c r="P133" s="20" t="s">
        <x:v>342</x:v>
      </x:c>
      <x:c r="Q133" s="16">
        <x:v>1</x:v>
      </x:c>
    </x:row>
    <x:row r="134" spans="1:17" ht="23.100000000000001" customHeight="1">
      <x:c r="A134" s="23" t="s">
        <x:v>174</x:v>
      </x:c>
      <x:c r="B134" s="23" t="s">
        <x:v>220</x:v>
      </x:c>
      <x:c r="C134" s="24" t="s">
        <x:v>177</x:v>
      </x:c>
      <x:c r="D134" s="26">
        <x:v>0.10400000000000001</x:v>
      </x:c>
      <x:c r="E134" s="26"/>
      <x:c r="F134" s="26"/>
      <x:c r="G134" s="26">
        <x:f>자재단가대비표!N46</x:f>
        <x:v>116622</x:v>
      </x:c>
      <x:c r="H134" s="26">
        <x:f>ROUNDDOWN(D134*G134,1)</x:f>
        <x:v>12128.6</x:v>
      </x:c>
      <x:c r="I134" s="26"/>
      <x:c r="J134" s="26"/>
      <x:c r="K134" s="26">
        <x:f>E134+G134+I134</x:f>
        <x:v>116622</x:v>
      </x:c>
      <x:c r="L134" s="26">
        <x:f>F134+H134+J134</x:f>
        <x:v>12128.6</x:v>
      </x:c>
      <x:c r="M134" s="28"/>
      <x:c r="O134" s="20" t="s">
        <x:v>162</x:v>
      </x:c>
      <x:c r="P134" s="20" t="s">
        <x:v>342</x:v>
      </x:c>
      <x:c r="Q134" s="16">
        <x:v>1</x:v>
      </x:c>
    </x:row>
    <x:row r="135" spans="1:17" ht="23.100000000000001" customHeight="1">
      <x:c r="A135" s="23" t="s">
        <x:v>314</x:v>
      </x:c>
      <x:c r="B135" s="23" t="s">
        <x:v>220</x:v>
      </x:c>
      <x:c r="C135" s="24" t="s">
        <x:v>177</x:v>
      </x:c>
      <x:c r="D135" s="26">
        <x:v>0.047000000000000008</x:v>
      </x:c>
      <x:c r="E135" s="26"/>
      <x:c r="F135" s="26"/>
      <x:c r="G135" s="26">
        <x:f>자재단가대비표!N47</x:f>
        <x:v>87805</x:v>
      </x:c>
      <x:c r="H135" s="26">
        <x:f>ROUNDDOWN(D135*G135,1)</x:f>
        <x:v>4126.8000000000002</x:v>
      </x:c>
      <x:c r="I135" s="26"/>
      <x:c r="J135" s="26"/>
      <x:c r="K135" s="26">
        <x:f>E135+G135+I135</x:f>
        <x:v>87805</x:v>
      </x:c>
      <x:c r="L135" s="26">
        <x:f>F135+H135+J135</x:f>
        <x:v>4126.8000000000002</x:v>
      </x:c>
      <x:c r="M135" s="28"/>
      <x:c r="O135" s="20" t="s">
        <x:v>162</x:v>
      </x:c>
      <x:c r="P135" s="20" t="s">
        <x:v>342</x:v>
      </x:c>
      <x:c r="Q135" s="16">
        <x:v>1</x:v>
      </x:c>
    </x:row>
    <x:row r="136" spans="1:17" ht="23.100000000000001" customHeight="1">
      <x:c r="A136" s="23" t="s">
        <x:v>362</x:v>
      </x:c>
      <x:c r="B136" s="29" t="str">
        <x:f>"노무비의 "&amp;N136*100&amp;"%"</x:f>
        <x:v>노무비의 3%</x:v>
      </x:c>
      <x:c r="C136" s="24" t="s">
        <x:v>160</x:v>
      </x:c>
      <x:c r="D136" s="34" t="s">
        <x:v>158</x:v>
      </x:c>
      <x:c r="E136" s="26">
        <x:f>SUMIF($O$132:O136,"04",$H$132:H136)</x:f>
        <x:v>16255.400000000001</x:v>
      </x:c>
      <x:c r="F136" s="26">
        <x:f>ROUNDDOWN(E136*N136,1)</x:f>
        <x:v>487.60000000000002</x:v>
      </x:c>
      <x:c r="G136" s="26"/>
      <x:c r="H136" s="26"/>
      <x:c r="I136" s="26"/>
      <x:c r="J136" s="26"/>
      <x:c r="K136" s="26">
        <x:f>E136+G136+I136</x:f>
        <x:v>16255.400000000001</x:v>
      </x:c>
      <x:c r="L136" s="26">
        <x:f>F136+H136+J136</x:f>
        <x:v>487.60000000000002</x:v>
      </x:c>
      <x:c r="M136" s="27" t="s">
        <x:v>361</x:v>
      </x:c>
      <x:c r="N136" s="21">
        <x:v>0.029999999999999999</x:v>
      </x:c>
      <x:c r="P136" s="20" t="s">
        <x:v>342</x:v>
      </x:c>
      <x:c r="Q136" s="16">
        <x:v>1</x:v>
      </x:c>
    </x:row>
    <x:row r="137" spans="1:13" ht="23.100000000000001" customHeight="1">
      <x:c r="A137" s="24" t="s">
        <x:v>344</x:v>
      </x:c>
      <x:c r="B137" s="29"/>
      <x:c r="C137" s="30"/>
      <x:c r="D137" s="31"/>
      <x:c r="E137" s="31"/>
      <x:c r="F137" s="32">
        <x:f>ROUNDDOWN(SUMIF($Q$133:$Q$136,1,$F$133:$F$136),0)</x:f>
        <x:v>4037</x:v>
      </x:c>
      <x:c r="G137" s="31"/>
      <x:c r="H137" s="32">
        <x:f>ROUNDDOWN(SUMIF($Q$133:$Q$136,1,$H$133:$H$136),0)</x:f>
        <x:v>16255</x:v>
      </x:c>
      <x:c r="I137" s="31"/>
      <x:c r="J137" s="32">
        <x:f>ROUNDDOWN(SUMIF($Q$133:$Q$136,1,$J$133:$J$136),0)</x:f>
        <x:v>0</x:v>
      </x:c>
      <x:c r="K137" s="31"/>
      <x:c r="L137" s="32">
        <x:f>F137+H137+J137</x:f>
        <x:v>20292</x:v>
      </x:c>
      <x:c r="M137" s="28"/>
    </x:row>
    <x:row r="138" spans="1:13" ht="23.100000000000001" customHeight="1">
      <x:c r="A138" s="23" t="s">
        <x:v>257</x:v>
      </x:c>
      <x:c r="B138" s="23" t="s">
        <x:v>220</x:v>
      </x:c>
      <x:c r="C138" s="24" t="s">
        <x:v>216</x:v>
      </x:c>
      <x:c r="D138" s="26"/>
      <x:c r="E138" s="26"/>
      <x:c r="F138" s="26"/>
      <x:c r="G138" s="26"/>
      <x:c r="H138" s="26"/>
      <x:c r="I138" s="26"/>
      <x:c r="J138" s="26"/>
      <x:c r="K138" s="26"/>
      <x:c r="L138" s="26"/>
      <x:c r="M138" s="27" t="s">
        <x:v>220</x:v>
      </x:c>
    </x:row>
    <x:row r="139" spans="1:17" ht="23.100000000000001" customHeight="1">
      <x:c r="A139" s="23" t="s">
        <x:v>67</x:v>
      </x:c>
      <x:c r="B139" s="23" t="s">
        <x:v>68</x:v>
      </x:c>
      <x:c r="C139" s="24" t="s">
        <x:v>149</x:v>
      </x:c>
      <x:c r="D139" s="26">
        <x:v>0.5</x:v>
      </x:c>
      <x:c r="E139" s="26">
        <x:f>일위대가표!F155</x:f>
        <x:v>39819</x:v>
      </x:c>
      <x:c r="F139" s="26">
        <x:f>ROUNDDOWN(D139*E139,1)</x:f>
        <x:v>19909.5</x:v>
      </x:c>
      <x:c r="G139" s="26">
        <x:f>일위대가표!H155</x:f>
        <x:v>52683</x:v>
      </x:c>
      <x:c r="H139" s="26">
        <x:f>ROUNDDOWN(D139*G139,1)</x:f>
        <x:v>26341.5</x:v>
      </x:c>
      <x:c r="I139" s="26"/>
      <x:c r="J139" s="26"/>
      <x:c r="K139" s="26">
        <x:f>E139+G139+I139</x:f>
        <x:v>92502</x:v>
      </x:c>
      <x:c r="L139" s="26">
        <x:f>F139+H139+J139</x:f>
        <x:v>46251</x:v>
      </x:c>
      <x:c r="M139" s="27" t="s">
        <x:v>384</x:v>
      </x:c>
      <x:c r="P139" s="20" t="s">
        <x:v>342</x:v>
      </x:c>
      <x:c r="Q139" s="16">
        <x:v>1</x:v>
      </x:c>
    </x:row>
    <x:row r="140" spans="1:17" ht="23.100000000000001" customHeight="1">
      <x:c r="A140" s="23" t="s">
        <x:v>314</x:v>
      </x:c>
      <x:c r="B140" s="23" t="s">
        <x:v>220</x:v>
      </x:c>
      <x:c r="C140" s="24" t="s">
        <x:v>177</x:v>
      </x:c>
      <x:c r="D140" s="26">
        <x:v>1</x:v>
      </x:c>
      <x:c r="E140" s="26"/>
      <x:c r="F140" s="26"/>
      <x:c r="G140" s="26">
        <x:f>자재단가대비표!N47</x:f>
        <x:v>87805</x:v>
      </x:c>
      <x:c r="H140" s="26">
        <x:f>ROUNDDOWN(D140*G140,1)</x:f>
        <x:v>87805</x:v>
      </x:c>
      <x:c r="I140" s="26"/>
      <x:c r="J140" s="26"/>
      <x:c r="K140" s="26">
        <x:f>E140+G140+I140</x:f>
        <x:v>87805</x:v>
      </x:c>
      <x:c r="L140" s="26">
        <x:f>F140+H140+J140</x:f>
        <x:v>87805</x:v>
      </x:c>
      <x:c r="M140" s="28"/>
      <x:c r="O140" s="20" t="s">
        <x:v>155</x:v>
      </x:c>
      <x:c r="P140" s="20" t="s">
        <x:v>342</x:v>
      </x:c>
      <x:c r="Q140" s="16">
        <x:v>1</x:v>
      </x:c>
    </x:row>
    <x:row r="141" spans="1:17" ht="23.100000000000001" customHeight="1">
      <x:c r="A141" s="23" t="s">
        <x:v>319</x:v>
      </x:c>
      <x:c r="B141" s="23" t="s">
        <x:v>220</x:v>
      </x:c>
      <x:c r="C141" s="24" t="s">
        <x:v>177</x:v>
      </x:c>
      <x:c r="D141" s="26">
        <x:v>1</x:v>
      </x:c>
      <x:c r="E141" s="26"/>
      <x:c r="F141" s="26"/>
      <x:c r="G141" s="26">
        <x:f>자재단가대비표!N52</x:f>
        <x:v>108245</x:v>
      </x:c>
      <x:c r="H141" s="26">
        <x:f>ROUNDDOWN(D141*G141,1)</x:f>
        <x:v>108245</x:v>
      </x:c>
      <x:c r="I141" s="26"/>
      <x:c r="J141" s="26"/>
      <x:c r="K141" s="26">
        <x:f>E141+G141+I141</x:f>
        <x:v>108245</x:v>
      </x:c>
      <x:c r="L141" s="26">
        <x:f>F141+H141+J141</x:f>
        <x:v>108245</x:v>
      </x:c>
      <x:c r="M141" s="28"/>
      <x:c r="O141" s="20" t="s">
        <x:v>155</x:v>
      </x:c>
      <x:c r="P141" s="20" t="s">
        <x:v>342</x:v>
      </x:c>
      <x:c r="Q141" s="16">
        <x:v>1</x:v>
      </x:c>
    </x:row>
    <x:row r="142" spans="1:13" ht="23.100000000000001" customHeight="1">
      <x:c r="A142" s="24" t="s">
        <x:v>344</x:v>
      </x:c>
      <x:c r="B142" s="29"/>
      <x:c r="C142" s="30"/>
      <x:c r="D142" s="31"/>
      <x:c r="E142" s="31"/>
      <x:c r="F142" s="32">
        <x:f>ROUNDDOWN(SUMIF($Q$139:$Q$141,1,$F$139:$F$141),0)</x:f>
        <x:v>19909</x:v>
      </x:c>
      <x:c r="G142" s="31"/>
      <x:c r="H142" s="32">
        <x:f>ROUNDDOWN(SUMIF($Q$139:$Q$141,1,$H$139:$H$141),0)</x:f>
        <x:v>222391</x:v>
      </x:c>
      <x:c r="I142" s="31"/>
      <x:c r="J142" s="32">
        <x:f>ROUNDDOWN(SUMIF($Q$139:$Q$141,1,$J$139:$J$141),0)</x:f>
        <x:v>0</x:v>
      </x:c>
      <x:c r="K142" s="31"/>
      <x:c r="L142" s="32">
        <x:f>F142+H142+J142</x:f>
        <x:v>242300</x:v>
      </x:c>
      <x:c r="M142" s="28"/>
    </x:row>
    <x:row r="143" spans="1:13" ht="23.100000000000001" customHeight="1">
      <x:c r="A143" s="23" t="s">
        <x:v>507</x:v>
      </x:c>
      <x:c r="B143" s="23" t="s">
        <x:v>68</x:v>
      </x:c>
      <x:c r="C143" s="24" t="s">
        <x:v>149</x:v>
      </x:c>
      <x:c r="D143" s="26"/>
      <x:c r="E143" s="26"/>
      <x:c r="F143" s="26"/>
      <x:c r="G143" s="26"/>
      <x:c r="H143" s="26"/>
      <x:c r="I143" s="26"/>
      <x:c r="J143" s="26"/>
      <x:c r="K143" s="26"/>
      <x:c r="L143" s="26"/>
      <x:c r="M143" s="27" t="s">
        <x:v>501</x:v>
      </x:c>
    </x:row>
    <x:row r="144" spans="1:17" ht="23.100000000000001" customHeight="1">
      <x:c r="A144" s="23" t="s">
        <x:v>34</x:v>
      </x:c>
      <x:c r="B144" s="23" t="s">
        <x:v>471</x:v>
      </x:c>
      <x:c r="C144" s="24" t="s">
        <x:v>216</x:v>
      </x:c>
      <x:c r="D144" s="26">
        <x:v>0.23999999999999999</x:v>
      </x:c>
      <x:c r="E144" s="26">
        <x:f>자재단가대비표!N17</x:f>
        <x:v>20830</x:v>
      </x:c>
      <x:c r="F144" s="26">
        <x:f>ROUNDDOWN(D144*E144,1)</x:f>
        <x:v>4999.1999999999998</x:v>
      </x:c>
      <x:c r="G144" s="26"/>
      <x:c r="H144" s="26"/>
      <x:c r="I144" s="26"/>
      <x:c r="J144" s="26"/>
      <x:c r="K144" s="26">
        <x:f>E144+G144+I144</x:f>
        <x:v>20830</x:v>
      </x:c>
      <x:c r="L144" s="26">
        <x:f>F144+H144+J144</x:f>
        <x:v>4999.1999999999998</x:v>
      </x:c>
      <x:c r="M144" s="28"/>
      <x:c r="O144" s="20" t="s">
        <x:v>159</x:v>
      </x:c>
      <x:c r="P144" s="20" t="s">
        <x:v>342</x:v>
      </x:c>
      <x:c r="Q144" s="16">
        <x:v>1</x:v>
      </x:c>
    </x:row>
    <x:row r="145" spans="1:17" ht="23.100000000000001" customHeight="1">
      <x:c r="A145" s="23" t="s">
        <x:v>223</x:v>
      </x:c>
      <x:c r="B145" s="23" t="s">
        <x:v>40</x:v>
      </x:c>
      <x:c r="C145" s="24" t="s">
        <x:v>222</x:v>
      </x:c>
      <x:c r="D145" s="26">
        <x:v>0.23999999999999999</x:v>
      </x:c>
      <x:c r="E145" s="26">
        <x:f>자재단가대비표!N5</x:f>
        <x:v>17800</x:v>
      </x:c>
      <x:c r="F145" s="26">
        <x:f>ROUNDDOWN(D145*E145,1)</x:f>
        <x:v>4272</x:v>
      </x:c>
      <x:c r="G145" s="26"/>
      <x:c r="H145" s="26"/>
      <x:c r="I145" s="26"/>
      <x:c r="J145" s="26"/>
      <x:c r="K145" s="26">
        <x:f>E145+G145+I145</x:f>
        <x:v>17800</x:v>
      </x:c>
      <x:c r="L145" s="26">
        <x:f>F145+H145+J145</x:f>
        <x:v>4272</x:v>
      </x:c>
      <x:c r="M145" s="28"/>
      <x:c r="O145" s="20" t="s">
        <x:v>159</x:v>
      </x:c>
      <x:c r="P145" s="20" t="s">
        <x:v>342</x:v>
      </x:c>
      <x:c r="Q145" s="16">
        <x:v>1</x:v>
      </x:c>
    </x:row>
    <x:row r="146" spans="1:17" ht="23.100000000000001" customHeight="1">
      <x:c r="A146" s="23" t="s">
        <x:v>292</x:v>
      </x:c>
      <x:c r="B146" s="23" t="s">
        <x:v>283</x:v>
      </x:c>
      <x:c r="C146" s="24" t="s">
        <x:v>216</x:v>
      </x:c>
      <x:c r="D146" s="26">
        <x:v>0.47999999999999998</x:v>
      </x:c>
      <x:c r="E146" s="26">
        <x:f>자재단가대비표!N23</x:f>
        <x:v>24000</x:v>
      </x:c>
      <x:c r="F146" s="26">
        <x:f>ROUNDDOWN(D146*E146,1)</x:f>
        <x:v>11520</x:v>
      </x:c>
      <x:c r="G146" s="26"/>
      <x:c r="H146" s="26"/>
      <x:c r="I146" s="26"/>
      <x:c r="J146" s="26"/>
      <x:c r="K146" s="26">
        <x:f>E146+G146+I146</x:f>
        <x:v>24000</x:v>
      </x:c>
      <x:c r="L146" s="26">
        <x:f>F146+H146+J146</x:f>
        <x:v>11520</x:v>
      </x:c>
      <x:c r="M146" s="28"/>
      <x:c r="O146" s="20" t="s">
        <x:v>159</x:v>
      </x:c>
      <x:c r="P146" s="20" t="s">
        <x:v>342</x:v>
      </x:c>
      <x:c r="Q146" s="16">
        <x:v>1</x:v>
      </x:c>
    </x:row>
    <x:row r="147" spans="1:17" ht="23.100000000000001" customHeight="1">
      <x:c r="A147" s="23" t="s">
        <x:v>296</x:v>
      </x:c>
      <x:c r="B147" s="23" t="s">
        <x:v>220</x:v>
      </x:c>
      <x:c r="C147" s="24" t="s">
        <x:v>216</x:v>
      </x:c>
      <x:c r="D147" s="26">
        <x:v>0.23999999999999999</x:v>
      </x:c>
      <x:c r="E147" s="26">
        <x:f>자재단가대비표!N21</x:f>
        <x:v>2200</x:v>
      </x:c>
      <x:c r="F147" s="26">
        <x:f>ROUNDDOWN(D147*E147,1)</x:f>
        <x:v>528</x:v>
      </x:c>
      <x:c r="G147" s="26"/>
      <x:c r="H147" s="26"/>
      <x:c r="I147" s="26"/>
      <x:c r="J147" s="26"/>
      <x:c r="K147" s="26">
        <x:f>E147+G147+I147</x:f>
        <x:v>2200</x:v>
      </x:c>
      <x:c r="L147" s="26">
        <x:f>F147+H147+J147</x:f>
        <x:v>528</x:v>
      </x:c>
      <x:c r="M147" s="27" t="s">
        <x:v>288</x:v>
      </x:c>
      <x:c r="O147" s="20" t="s">
        <x:v>159</x:v>
      </x:c>
      <x:c r="P147" s="20" t="s">
        <x:v>342</x:v>
      </x:c>
      <x:c r="Q147" s="16">
        <x:v>1</x:v>
      </x:c>
    </x:row>
    <x:row r="148" spans="1:17" ht="23.100000000000001" customHeight="1">
      <x:c r="A148" s="23" t="s">
        <x:v>33</x:v>
      </x:c>
      <x:c r="B148" s="23" t="s">
        <x:v>282</x:v>
      </x:c>
      <x:c r="C148" s="24" t="s">
        <x:v>216</x:v>
      </x:c>
      <x:c r="D148" s="26">
        <x:v>0.12</x:v>
      </x:c>
      <x:c r="E148" s="26">
        <x:f>자재단가대비표!N18</x:f>
        <x:v>1200</x:v>
      </x:c>
      <x:c r="F148" s="26">
        <x:f>ROUNDDOWN(D148*E148,1)</x:f>
        <x:v>144</x:v>
      </x:c>
      <x:c r="G148" s="26"/>
      <x:c r="H148" s="26"/>
      <x:c r="I148" s="26"/>
      <x:c r="J148" s="26"/>
      <x:c r="K148" s="26">
        <x:f>E148+G148+I148</x:f>
        <x:v>1200</x:v>
      </x:c>
      <x:c r="L148" s="26">
        <x:f>F148+H148+J148</x:f>
        <x:v>144</x:v>
      </x:c>
      <x:c r="M148" s="28"/>
      <x:c r="O148" s="20" t="s">
        <x:v>159</x:v>
      </x:c>
      <x:c r="P148" s="20" t="s">
        <x:v>342</x:v>
      </x:c>
      <x:c r="Q148" s="16">
        <x:v>1</x:v>
      </x:c>
    </x:row>
    <x:row r="149" spans="1:17" ht="23.100000000000001" customHeight="1">
      <x:c r="A149" s="23" t="s">
        <x:v>33</x:v>
      </x:c>
      <x:c r="B149" s="23" t="s">
        <x:v>283</x:v>
      </x:c>
      <x:c r="C149" s="24" t="s">
        <x:v>216</x:v>
      </x:c>
      <x:c r="D149" s="26">
        <x:v>0.23999999999999999</x:v>
      </x:c>
      <x:c r="E149" s="26">
        <x:f>자재단가대비표!N19</x:f>
        <x:v>850</x:v>
      </x:c>
      <x:c r="F149" s="26">
        <x:f>ROUNDDOWN(D149*E149,1)</x:f>
        <x:v>204</x:v>
      </x:c>
      <x:c r="G149" s="26"/>
      <x:c r="H149" s="26"/>
      <x:c r="I149" s="26"/>
      <x:c r="J149" s="26"/>
      <x:c r="K149" s="26">
        <x:f>E149+G149+I149</x:f>
        <x:v>850</x:v>
      </x:c>
      <x:c r="L149" s="26">
        <x:f>F149+H149+J149</x:f>
        <x:v>204</x:v>
      </x:c>
      <x:c r="M149" s="28"/>
      <x:c r="O149" s="20" t="s">
        <x:v>159</x:v>
      </x:c>
      <x:c r="P149" s="20" t="s">
        <x:v>342</x:v>
      </x:c>
      <x:c r="Q149" s="16">
        <x:v>1</x:v>
      </x:c>
    </x:row>
    <x:row r="150" spans="1:17" ht="23.100000000000001" customHeight="1">
      <x:c r="A150" s="23" t="s">
        <x:v>307</x:v>
      </x:c>
      <x:c r="B150" s="23" t="s">
        <x:v>27</x:v>
      </x:c>
      <x:c r="C150" s="24" t="s">
        <x:v>216</x:v>
      </x:c>
      <x:c r="D150" s="26">
        <x:v>0.47999999999999998</x:v>
      </x:c>
      <x:c r="E150" s="26">
        <x:f>자재단가대비표!N34</x:f>
        <x:v>830</x:v>
      </x:c>
      <x:c r="F150" s="26">
        <x:f>ROUNDDOWN(D150*E150,1)</x:f>
        <x:v>398.39999999999998</x:v>
      </x:c>
      <x:c r="G150" s="26"/>
      <x:c r="H150" s="26"/>
      <x:c r="I150" s="26"/>
      <x:c r="J150" s="26"/>
      <x:c r="K150" s="26">
        <x:f>E150+G150+I150</x:f>
        <x:v>830</x:v>
      </x:c>
      <x:c r="L150" s="26">
        <x:f>F150+H150+J150</x:f>
        <x:v>398.39999999999998</x:v>
      </x:c>
      <x:c r="M150" s="28"/>
      <x:c r="O150" s="20" t="s">
        <x:v>159</x:v>
      </x:c>
      <x:c r="P150" s="20" t="s">
        <x:v>342</x:v>
      </x:c>
      <x:c r="Q150" s="16">
        <x:v>1</x:v>
      </x:c>
    </x:row>
    <x:row r="151" spans="1:17" ht="23.100000000000001" customHeight="1">
      <x:c r="A151" s="23" t="s">
        <x:v>201</x:v>
      </x:c>
      <x:c r="B151" s="23" t="s">
        <x:v>220</x:v>
      </x:c>
      <x:c r="C151" s="24" t="s">
        <x:v>216</x:v>
      </x:c>
      <x:c r="D151" s="26">
        <x:v>0.23999999999999999</x:v>
      </x:c>
      <x:c r="E151" s="26">
        <x:f>자재단가대비표!N15</x:f>
        <x:v>31000</x:v>
      </x:c>
      <x:c r="F151" s="26">
        <x:f>ROUNDDOWN(D151*E151,1)</x:f>
        <x:v>7440</x:v>
      </x:c>
      <x:c r="G151" s="26"/>
      <x:c r="H151" s="26"/>
      <x:c r="I151" s="26"/>
      <x:c r="J151" s="26"/>
      <x:c r="K151" s="26">
        <x:f>E151+G151+I151</x:f>
        <x:v>31000</x:v>
      </x:c>
      <x:c r="L151" s="26">
        <x:f>F151+H151+J151</x:f>
        <x:v>7440</x:v>
      </x:c>
      <x:c r="M151" s="28"/>
      <x:c r="O151" s="20" t="s">
        <x:v>159</x:v>
      </x:c>
      <x:c r="P151" s="20" t="s">
        <x:v>342</x:v>
      </x:c>
      <x:c r="Q151" s="16">
        <x:v>1</x:v>
      </x:c>
    </x:row>
    <x:row r="152" spans="1:17" ht="23.100000000000001" customHeight="1">
      <x:c r="A152" s="23" t="s">
        <x:v>186</x:v>
      </x:c>
      <x:c r="B152" s="23" t="s">
        <x:v>220</x:v>
      </x:c>
      <x:c r="C152" s="24" t="s">
        <x:v>216</x:v>
      </x:c>
      <x:c r="D152" s="26">
        <x:v>0.23999999999999999</x:v>
      </x:c>
      <x:c r="E152" s="26">
        <x:f>자재단가대비표!N36</x:f>
        <x:v>10600</x:v>
      </x:c>
      <x:c r="F152" s="26">
        <x:f>ROUNDDOWN(D152*E152,1)</x:f>
        <x:v>2544</x:v>
      </x:c>
      <x:c r="G152" s="26"/>
      <x:c r="H152" s="26"/>
      <x:c r="I152" s="26"/>
      <x:c r="J152" s="26"/>
      <x:c r="K152" s="26">
        <x:f>E152+G152+I152</x:f>
        <x:v>10600</x:v>
      </x:c>
      <x:c r="L152" s="26">
        <x:f>F152+H152+J152</x:f>
        <x:v>2544</x:v>
      </x:c>
      <x:c r="M152" s="28"/>
      <x:c r="O152" s="20" t="s">
        <x:v>159</x:v>
      </x:c>
      <x:c r="P152" s="20" t="s">
        <x:v>342</x:v>
      </x:c>
      <x:c r="Q152" s="16">
        <x:v>1</x:v>
      </x:c>
    </x:row>
    <x:row r="153" spans="1:17" ht="23.100000000000001" customHeight="1">
      <x:c r="A153" s="23" t="s">
        <x:v>273</x:v>
      </x:c>
      <x:c r="B153" s="23" t="s">
        <x:v>38</x:v>
      </x:c>
      <x:c r="C153" s="24" t="s">
        <x:v>216</x:v>
      </x:c>
      <x:c r="D153" s="26">
        <x:v>0.41999999999999998</x:v>
      </x:c>
      <x:c r="E153" s="26">
        <x:f>자재단가대비표!N9</x:f>
        <x:v>18500</x:v>
      </x:c>
      <x:c r="F153" s="26">
        <x:f>ROUNDDOWN(D153*E153,1)</x:f>
        <x:v>7770</x:v>
      </x:c>
      <x:c r="G153" s="26"/>
      <x:c r="H153" s="26"/>
      <x:c r="I153" s="26"/>
      <x:c r="J153" s="26"/>
      <x:c r="K153" s="26">
        <x:f>E153+G153+I153</x:f>
        <x:v>18500</x:v>
      </x:c>
      <x:c r="L153" s="26">
        <x:f>F153+H153+J153</x:f>
        <x:v>7770</x:v>
      </x:c>
      <x:c r="M153" s="27" t="s">
        <x:v>274</x:v>
      </x:c>
      <x:c r="O153" s="20" t="s">
        <x:v>159</x:v>
      </x:c>
      <x:c r="P153" s="20" t="s">
        <x:v>342</x:v>
      </x:c>
      <x:c r="Q153" s="16">
        <x:v>1</x:v>
      </x:c>
    </x:row>
    <x:row r="154" spans="1:17" ht="23.100000000000001" customHeight="1">
      <x:c r="A154" s="23" t="s">
        <x:v>314</x:v>
      </x:c>
      <x:c r="B154" s="23" t="s">
        <x:v>220</x:v>
      </x:c>
      <x:c r="C154" s="24" t="s">
        <x:v>177</x:v>
      </x:c>
      <x:c r="D154" s="26">
        <x:v>0.59999999999999998</x:v>
      </x:c>
      <x:c r="E154" s="26"/>
      <x:c r="F154" s="26"/>
      <x:c r="G154" s="26">
        <x:f>자재단가대비표!N47</x:f>
        <x:v>87805</x:v>
      </x:c>
      <x:c r="H154" s="26">
        <x:f>ROUNDDOWN(D154*G154,1)</x:f>
        <x:v>52683</x:v>
      </x:c>
      <x:c r="I154" s="26"/>
      <x:c r="J154" s="26"/>
      <x:c r="K154" s="26">
        <x:f>E154+G154+I154</x:f>
        <x:v>87805</x:v>
      </x:c>
      <x:c r="L154" s="26">
        <x:f>F154+H154+J154</x:f>
        <x:v>52683</x:v>
      </x:c>
      <x:c r="M154" s="28"/>
      <x:c r="O154" s="20" t="s">
        <x:v>155</x:v>
      </x:c>
      <x:c r="P154" s="20" t="s">
        <x:v>342</x:v>
      </x:c>
      <x:c r="Q154" s="16">
        <x:v>1</x:v>
      </x:c>
    </x:row>
    <x:row r="155" spans="1:13" ht="23.100000000000001" customHeight="1">
      <x:c r="A155" s="24" t="s">
        <x:v>344</x:v>
      </x:c>
      <x:c r="B155" s="29"/>
      <x:c r="C155" s="30"/>
      <x:c r="D155" s="31"/>
      <x:c r="E155" s="31"/>
      <x:c r="F155" s="32">
        <x:f>ROUNDDOWN(SUMIF($Q$144:$Q$154,1,$F$144:$F$154),0)</x:f>
        <x:v>39819</x:v>
      </x:c>
      <x:c r="G155" s="31"/>
      <x:c r="H155" s="32">
        <x:f>ROUNDDOWN(SUMIF($Q$144:$Q$154,1,$H$144:$H$154),0)</x:f>
        <x:v>52683</x:v>
      </x:c>
      <x:c r="I155" s="31"/>
      <x:c r="J155" s="32">
        <x:f>ROUNDDOWN(SUMIF($Q$144:$Q$154,1,$J$144:$J$154),0)</x:f>
        <x:v>0</x:v>
      </x:c>
      <x:c r="K155" s="31"/>
      <x:c r="L155" s="32">
        <x:f>F155+H155+J155</x:f>
        <x:v>92502</x:v>
      </x:c>
      <x:c r="M155" s="28"/>
    </x:row>
    <x:row r="156" spans="1:13" ht="23.100000000000001" customHeight="1">
      <x:c r="A156" s="23" t="s">
        <x:v>256</x:v>
      </x:c>
      <x:c r="B156" s="23" t="s">
        <x:v>220</x:v>
      </x:c>
      <x:c r="C156" s="24" t="s">
        <x:v>216</x:v>
      </x:c>
      <x:c r="D156" s="26"/>
      <x:c r="E156" s="26"/>
      <x:c r="F156" s="26"/>
      <x:c r="G156" s="26"/>
      <x:c r="H156" s="26"/>
      <x:c r="I156" s="26"/>
      <x:c r="J156" s="26"/>
      <x:c r="K156" s="26"/>
      <x:c r="L156" s="26"/>
      <x:c r="M156" s="27" t="s">
        <x:v>220</x:v>
      </x:c>
    </x:row>
    <x:row r="157" spans="1:17" ht="23.100000000000001" customHeight="1">
      <x:c r="A157" s="23" t="s">
        <x:v>314</x:v>
      </x:c>
      <x:c r="B157" s="23" t="s">
        <x:v>220</x:v>
      </x:c>
      <x:c r="C157" s="24" t="s">
        <x:v>177</x:v>
      </x:c>
      <x:c r="D157" s="26">
        <x:v>0.29999999999999999</x:v>
      </x:c>
      <x:c r="E157" s="26"/>
      <x:c r="F157" s="26"/>
      <x:c r="G157" s="26">
        <x:f>자재단가대비표!N47</x:f>
        <x:v>87805</x:v>
      </x:c>
      <x:c r="H157" s="26">
        <x:f>ROUNDDOWN(D157*G157,1)</x:f>
        <x:v>26341.5</x:v>
      </x:c>
      <x:c r="I157" s="26"/>
      <x:c r="J157" s="26"/>
      <x:c r="K157" s="26">
        <x:f>E157+G157+I157</x:f>
        <x:v>87805</x:v>
      </x:c>
      <x:c r="L157" s="26">
        <x:f>F157+H157+J157</x:f>
        <x:v>26341.5</x:v>
      </x:c>
      <x:c r="M157" s="28"/>
      <x:c r="O157" s="20" t="s">
        <x:v>155</x:v>
      </x:c>
      <x:c r="P157" s="20" t="s">
        <x:v>342</x:v>
      </x:c>
      <x:c r="Q157" s="16">
        <x:v>1</x:v>
      </x:c>
    </x:row>
    <x:row r="158" spans="1:17" ht="23.100000000000001" customHeight="1">
      <x:c r="A158" s="23" t="s">
        <x:v>376</x:v>
      </x:c>
      <x:c r="B158" s="29" t="str">
        <x:f>"노무비의 "&amp;N158*100&amp;"%"</x:f>
        <x:v>노무비의 3%</x:v>
      </x:c>
      <x:c r="C158" s="24" t="s">
        <x:v>160</x:v>
      </x:c>
      <x:c r="D158" s="34" t="s">
        <x:v>158</x:v>
      </x:c>
      <x:c r="E158" s="26">
        <x:f>SUMIF($O$156:O158,"02",$H$156:H158)</x:f>
        <x:v>26341.5</x:v>
      </x:c>
      <x:c r="F158" s="26">
        <x:f>ROUNDDOWN(E158*N158,1)</x:f>
        <x:v>790.20000000000005</x:v>
      </x:c>
      <x:c r="G158" s="26"/>
      <x:c r="H158" s="26"/>
      <x:c r="I158" s="26"/>
      <x:c r="J158" s="26"/>
      <x:c r="K158" s="26">
        <x:f>E158+G158+I158</x:f>
        <x:v>26341.5</x:v>
      </x:c>
      <x:c r="L158" s="26">
        <x:f>F158+H158+J158</x:f>
        <x:v>790.20000000000005</x:v>
      </x:c>
      <x:c r="M158" s="28"/>
      <x:c r="N158" s="21">
        <x:v>0.029999999999999999</x:v>
      </x:c>
      <x:c r="P158" s="20" t="s">
        <x:v>342</x:v>
      </x:c>
      <x:c r="Q158" s="16">
        <x:v>1</x:v>
      </x:c>
    </x:row>
    <x:row r="159" spans="1:13" ht="23.100000000000001" customHeight="1">
      <x:c r="A159" s="24" t="s">
        <x:v>344</x:v>
      </x:c>
      <x:c r="B159" s="29"/>
      <x:c r="C159" s="30"/>
      <x:c r="D159" s="31"/>
      <x:c r="E159" s="31"/>
      <x:c r="F159" s="32">
        <x:f>ROUNDDOWN(SUMIF($Q$157:$Q$158,1,$F$157:$F$158),0)</x:f>
        <x:v>790</x:v>
      </x:c>
      <x:c r="G159" s="31"/>
      <x:c r="H159" s="32">
        <x:f>ROUNDDOWN(SUMIF($Q$157:$Q$158,1,$H$157:$H$158),0)</x:f>
        <x:v>26341</x:v>
      </x:c>
      <x:c r="I159" s="31"/>
      <x:c r="J159" s="32">
        <x:f>ROUNDDOWN(SUMIF($Q$157:$Q$158,1,$J$157:$J$158),0)</x:f>
        <x:v>0</x:v>
      </x:c>
      <x:c r="K159" s="31"/>
      <x:c r="L159" s="32">
        <x:f>F159+H159+J159</x:f>
        <x:v>27131</x:v>
      </x:c>
      <x:c r="M159" s="28"/>
    </x:row>
    <x:row r="160" spans="1:13" ht="23.100000000000001" customHeight="1">
      <x:c r="A160" s="29"/>
      <x:c r="B160" s="29"/>
      <x:c r="C160" s="30"/>
      <x:c r="D160" s="31"/>
      <x:c r="E160" s="31"/>
      <x:c r="F160" s="31"/>
      <x:c r="G160" s="31"/>
      <x:c r="H160" s="31"/>
      <x:c r="I160" s="31"/>
      <x:c r="J160" s="31"/>
      <x:c r="K160" s="31"/>
      <x:c r="L160" s="31"/>
      <x:c r="M160" s="28"/>
    </x:row>
    <x:row r="161" spans="1:13" ht="23.100000000000001" customHeight="1">
      <x:c r="A161" s="29"/>
      <x:c r="B161" s="29"/>
      <x:c r="C161" s="30"/>
      <x:c r="D161" s="31"/>
      <x:c r="E161" s="31"/>
      <x:c r="F161" s="31"/>
      <x:c r="G161" s="31"/>
      <x:c r="H161" s="31"/>
      <x:c r="I161" s="31"/>
      <x:c r="J161" s="31"/>
      <x:c r="K161" s="31"/>
      <x:c r="L161" s="31"/>
      <x:c r="M161" s="28"/>
    </x:row>
    <x:row r="162" spans="1:13" ht="23.100000000000001" customHeight="1">
      <x:c r="A162" s="29"/>
      <x:c r="B162" s="29"/>
      <x:c r="C162" s="30"/>
      <x:c r="D162" s="31"/>
      <x:c r="E162" s="31"/>
      <x:c r="F162" s="31"/>
      <x:c r="G162" s="31"/>
      <x:c r="H162" s="31"/>
      <x:c r="I162" s="31"/>
      <x:c r="J162" s="31"/>
      <x:c r="K162" s="31"/>
      <x:c r="L162" s="31"/>
      <x:c r="M162" s="28"/>
    </x:row>
    <x:row r="163" spans="1:13" ht="23.100000000000001" customHeight="1">
      <x:c r="A163" s="29"/>
      <x:c r="B163" s="29"/>
      <x:c r="C163" s="30"/>
      <x:c r="D163" s="31"/>
      <x:c r="E163" s="31"/>
      <x:c r="F163" s="31"/>
      <x:c r="G163" s="31"/>
      <x:c r="H163" s="31"/>
      <x:c r="I163" s="31"/>
      <x:c r="J163" s="31"/>
      <x:c r="K163" s="31"/>
      <x:c r="L163" s="31"/>
      <x:c r="M163" s="28"/>
    </x:row>
    <x:row r="164" spans="1:13" ht="23.100000000000001" customHeight="1">
      <x:c r="A164" s="29"/>
      <x:c r="B164" s="29"/>
      <x:c r="C164" s="30"/>
      <x:c r="D164" s="31"/>
      <x:c r="E164" s="31"/>
      <x:c r="F164" s="31"/>
      <x:c r="G164" s="31"/>
      <x:c r="H164" s="31"/>
      <x:c r="I164" s="31"/>
      <x:c r="J164" s="31"/>
      <x:c r="K164" s="31"/>
      <x:c r="L164" s="31"/>
      <x:c r="M164" s="28"/>
    </x:row>
  </x:sheetData>
  <x:mergeCells count="11">
    <x:mergeCell ref="K3:L3"/>
    <x:mergeCell ref="A1:M1"/>
    <x:mergeCell ref="A2:M2"/>
    <x:mergeCell ref="A3:A4"/>
    <x:mergeCell ref="B3:B4"/>
    <x:mergeCell ref="C3:C4"/>
    <x:mergeCell ref="D3:D4"/>
    <x:mergeCell ref="M3:M4"/>
    <x:mergeCell ref="E3:F3"/>
    <x:mergeCell ref="G3:H3"/>
    <x:mergeCell ref="I3:J3"/>
  </x:mergeCells>
  <x:pageMargins left="0.74541664123535156" right="0" top="0.69444441795349121" bottom="0.1388888955116272" header="0.30000001192092896" footer="0.1388888955116272"/>
  <x:pageSetup paperSize="9" scale="100" firstPageNumber="1" fitToWidth="1" fitToHeight="1" orientation="landscape" usePrinterDefaults="1" blackAndWhite="0" draft="0" useFirstPageNumber="0" horizontalDpi="600" verticalDpi="600" copies="1"/>
  <x:rowBreaks count="10" manualBreakCount="10">
    <x:brk id="20" min="0" max="1048575" man="1" pt="0"/>
    <x:brk id="36" min="0" max="1048575" man="1" pt="0"/>
    <x:brk id="52" min="0" max="1048575" man="1" pt="0"/>
    <x:brk id="68" min="0" max="1048575" man="1" pt="0"/>
    <x:brk id="84" min="0" max="1048575" man="1" pt="0"/>
    <x:brk id="100" min="0" max="1048575" man="1" pt="0"/>
    <x:brk id="116" min="0" max="1048575" man="1" pt="0"/>
    <x:brk id="132" min="0" max="1048575" man="1" pt="0"/>
    <x:brk id="148" min="0" max="1048575" man="1" pt="0"/>
    <x:brk id="164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tabColor rgb="fff19d86"/>
  </x:sheetPr>
  <x:dimension ref="A1:R20"/>
  <x:sheetViews>
    <x:sheetView topLeftCell="A1" zoomScaleNormal="100" workbookViewId="0">
      <x:selection activeCell="A1" activeCellId="0" sqref="A1:N1"/>
    </x:sheetView>
  </x:sheetViews>
  <x:sheetFormatPr defaultColWidth="9.00390625" defaultRowHeight="10.550000000000001"/>
  <x:cols>
    <x:col min="1" max="1" width="6.625" style="17" customWidth="1"/>
    <x:col min="2" max="3" width="19.625" style="16" customWidth="1"/>
    <x:col min="4" max="4" width="4.625" style="17" customWidth="1"/>
    <x:col min="5" max="5" width="6.625" style="17" customWidth="1"/>
    <x:col min="6" max="6" width="6.625" style="18" customWidth="1"/>
    <x:col min="7" max="7" width="7.625" style="18" customWidth="1"/>
    <x:col min="8" max="8" width="6.625" style="18" customWidth="1"/>
    <x:col min="9" max="9" width="7.625" style="18" customWidth="1"/>
    <x:col min="10" max="10" width="6.625" style="18" customWidth="1"/>
    <x:col min="11" max="11" width="7.625" style="18" customWidth="1"/>
    <x:col min="12" max="12" width="6.625" style="18" customWidth="1"/>
    <x:col min="13" max="13" width="7.625" style="18" customWidth="1"/>
    <x:col min="14" max="14" width="6.625" style="19" customWidth="1"/>
    <x:col min="15" max="18" width="0" style="16" hidden="1" customWidth="1"/>
    <x:col min="19" max="16384" width="9" style="16"/>
  </x:cols>
  <x:sheetData>
    <x:row r="1" spans="1:14" ht="30" customHeight="1">
      <x:c r="A1" s="98" t="s">
        <x:v>42</x:v>
      </x:c>
      <x:c r="B1" s="98"/>
      <x:c r="C1" s="98"/>
      <x:c r="D1" s="98"/>
      <x:c r="E1" s="98"/>
      <x:c r="F1" s="98"/>
      <x:c r="G1" s="98"/>
      <x:c r="H1" s="98"/>
      <x:c r="I1" s="98"/>
      <x:c r="J1" s="98"/>
      <x:c r="K1" s="98"/>
      <x:c r="L1" s="98"/>
      <x:c r="M1" s="98"/>
      <x:c r="N1" s="98"/>
    </x:row>
    <x:row r="2" spans="1:14" ht="23.100000000000001" customHeight="1">
      <x:c r="A2" s="112" t="s">
        <x:v>240</x:v>
      </x:c>
      <x:c r="B2" s="112"/>
      <x:c r="C2" s="112"/>
      <x:c r="D2" s="112"/>
      <x:c r="E2" s="112"/>
      <x:c r="F2" s="112"/>
      <x:c r="G2" s="112"/>
      <x:c r="H2" s="112"/>
      <x:c r="I2" s="112"/>
      <x:c r="J2" s="112"/>
      <x:c r="K2" s="112"/>
      <x:c r="L2" s="112"/>
      <x:c r="M2" s="112"/>
      <x:c r="N2" s="112"/>
    </x:row>
    <x:row r="3" spans="1:14" ht="23.100000000000001" customHeight="1">
      <x:c r="A3" s="111" t="s">
        <x:v>157</x:v>
      </x:c>
      <x:c r="B3" s="111" t="s">
        <x:v>458</x:v>
      </x:c>
      <x:c r="C3" s="111" t="s">
        <x:v>263</x:v>
      </x:c>
      <x:c r="D3" s="111" t="s">
        <x:v>225</x:v>
      </x:c>
      <x:c r="E3" s="111" t="s">
        <x:v>156</x:v>
      </x:c>
      <x:c r="F3" s="111" t="s">
        <x:v>346</x:v>
      </x:c>
      <x:c r="G3" s="111"/>
      <x:c r="H3" s="111" t="s">
        <x:v>347</x:v>
      </x:c>
      <x:c r="I3" s="111"/>
      <x:c r="J3" s="111" t="s">
        <x:v>348</x:v>
      </x:c>
      <x:c r="K3" s="111"/>
      <x:c r="L3" s="111" t="s">
        <x:v>349</x:v>
      </x:c>
      <x:c r="M3" s="111"/>
      <x:c r="N3" s="111" t="s">
        <x:v>333</x:v>
      </x:c>
    </x:row>
    <x:row r="4" spans="1:18" ht="23.100000000000001" customHeight="1">
      <x:c r="A4" s="111"/>
      <x:c r="B4" s="111"/>
      <x:c r="C4" s="111"/>
      <x:c r="D4" s="111"/>
      <x:c r="E4" s="111"/>
      <x:c r="F4" s="22" t="s">
        <x:v>334</x:v>
      </x:c>
      <x:c r="G4" s="22" t="s">
        <x:v>340</x:v>
      </x:c>
      <x:c r="H4" s="22" t="s">
        <x:v>334</x:v>
      </x:c>
      <x:c r="I4" s="22" t="s">
        <x:v>340</x:v>
      </x:c>
      <x:c r="J4" s="22" t="s">
        <x:v>334</x:v>
      </x:c>
      <x:c r="K4" s="22" t="s">
        <x:v>340</x:v>
      </x:c>
      <x:c r="L4" s="22" t="s">
        <x:v>334</x:v>
      </x:c>
      <x:c r="M4" s="22" t="s">
        <x:v>340</x:v>
      </x:c>
      <x:c r="N4" s="111"/>
      <x:c r="O4" s="16" t="s">
        <x:v>336</x:v>
      </x:c>
      <x:c r="P4" s="16" t="s">
        <x:v>337</x:v>
      </x:c>
      <x:c r="Q4" s="16" t="s">
        <x:v>338</x:v>
      </x:c>
      <x:c r="R4" s="16" t="s">
        <x:v>339</x:v>
      </x:c>
    </x:row>
    <x:row r="5" spans="1:14" ht="23.100000000000001" customHeight="1">
      <x:c r="A5" s="24" t="s">
        <x:v>355</x:v>
      </x:c>
      <x:c r="B5" s="23" t="s">
        <x:v>351</x:v>
      </x:c>
      <x:c r="C5" s="23" t="s">
        <x:v>345</x:v>
      </x:c>
      <x:c r="D5" s="24" t="s">
        <x:v>165</x:v>
      </x:c>
      <x:c r="E5" s="30">
        <x:v>1</x:v>
      </x:c>
      <x:c r="F5" s="32">
        <x:f>중기경비!F12</x:f>
        <x:v>2268</x:v>
      </x:c>
      <x:c r="G5" s="32">
        <x:f>E5*F5</x:f>
        <x:v>2268</x:v>
      </x:c>
      <x:c r="H5" s="32">
        <x:f>중기경비!H12</x:f>
        <x:v>0</x:v>
      </x:c>
      <x:c r="I5" s="32">
        <x:f>E5*H5</x:f>
        <x:v>0</x:v>
      </x:c>
      <x:c r="J5" s="32">
        <x:f>중기경비!J12</x:f>
        <x:v>15434</x:v>
      </x:c>
      <x:c r="K5" s="32">
        <x:f>E5*J5</x:f>
        <x:v>15434</x:v>
      </x:c>
      <x:c r="L5" s="32">
        <x:f>F5+H5+J5</x:f>
        <x:v>17702</x:v>
      </x:c>
      <x:c r="M5" s="32">
        <x:f>G5+I5+K5</x:f>
        <x:v>17702</x:v>
      </x:c>
      <x:c r="N5" s="27" t="s">
        <x:v>15</x:v>
      </x:c>
    </x:row>
    <x:row r="6" spans="1:14" ht="23.100000000000001" customHeight="1">
      <x:c r="A6" s="24" t="s">
        <x:v>352</x:v>
      </x:c>
      <x:c r="B6" s="23" t="s">
        <x:v>353</x:v>
      </x:c>
      <x:c r="C6" s="23" t="s">
        <x:v>21</x:v>
      </x:c>
      <x:c r="D6" s="24" t="s">
        <x:v>165</x:v>
      </x:c>
      <x:c r="E6" s="30">
        <x:v>1</x:v>
      </x:c>
      <x:c r="F6" s="32">
        <x:f>중기경비!F22</x:f>
        <x:v>1925</x:v>
      </x:c>
      <x:c r="G6" s="32">
        <x:f>E6*F6</x:f>
        <x:v>1925</x:v>
      </x:c>
      <x:c r="H6" s="32">
        <x:f>중기경비!H22</x:f>
        <x:v>0</x:v>
      </x:c>
      <x:c r="I6" s="32">
        <x:f>E6*H6</x:f>
        <x:v>0</x:v>
      </x:c>
      <x:c r="J6" s="32">
        <x:f>중기경비!J22</x:f>
        <x:v>1687</x:v>
      </x:c>
      <x:c r="K6" s="32">
        <x:f>E6*J6</x:f>
        <x:v>1687</x:v>
      </x:c>
      <x:c r="L6" s="32">
        <x:f>F6+H6+J6</x:f>
        <x:v>3612</x:v>
      </x:c>
      <x:c r="M6" s="32">
        <x:f>G6+I6+K6</x:f>
        <x:v>3612</x:v>
      </x:c>
      <x:c r="N6" s="27" t="s">
        <x:v>15</x:v>
      </x:c>
    </x:row>
    <x:row r="7" spans="1:14" ht="23.100000000000001" customHeight="1">
      <x:c r="A7" s="24" t="s">
        <x:v>354</x:v>
      </x:c>
      <x:c r="B7" s="23" t="s">
        <x:v>167</x:v>
      </x:c>
      <x:c r="C7" s="23" t="s">
        <x:v>350</x:v>
      </x:c>
      <x:c r="D7" s="24" t="s">
        <x:v>165</x:v>
      </x:c>
      <x:c r="E7" s="30">
        <x:v>1</x:v>
      </x:c>
      <x:c r="F7" s="32">
        <x:f>중기경비!F30</x:f>
        <x:v>91</x:v>
      </x:c>
      <x:c r="G7" s="32">
        <x:f>E7*F7</x:f>
        <x:v>91</x:v>
      </x:c>
      <x:c r="H7" s="32">
        <x:f>중기경비!H30</x:f>
        <x:v>0</x:v>
      </x:c>
      <x:c r="I7" s="32">
        <x:f>E7*H7</x:f>
        <x:v>0</x:v>
      </x:c>
      <x:c r="J7" s="32">
        <x:f>중기경비!J30</x:f>
        <x:v>10</x:v>
      </x:c>
      <x:c r="K7" s="32">
        <x:f>E7*J7</x:f>
        <x:v>10</x:v>
      </x:c>
      <x:c r="L7" s="32">
        <x:f>F7+H7+J7</x:f>
        <x:v>101</x:v>
      </x:c>
      <x:c r="M7" s="32">
        <x:f>G7+I7+K7</x:f>
        <x:v>101</x:v>
      </x:c>
      <x:c r="N7" s="27" t="s">
        <x:v>15</x:v>
      </x:c>
    </x:row>
    <x:row r="8" spans="1:14" ht="23.100000000000001" customHeight="1">
      <x:c r="A8" s="24" t="s">
        <x:v>359</x:v>
      </x:c>
      <x:c r="B8" s="23" t="s">
        <x:v>326</x:v>
      </x:c>
      <x:c r="C8" s="23" t="s">
        <x:v>99</x:v>
      </x:c>
      <x:c r="D8" s="24" t="s">
        <x:v>165</x:v>
      </x:c>
      <x:c r="E8" s="30">
        <x:v>1</x:v>
      </x:c>
      <x:c r="F8" s="32">
        <x:f>중기경비!F35</x:f>
        <x:v>0</x:v>
      </x:c>
      <x:c r="G8" s="32">
        <x:f>E8*F8</x:f>
        <x:v>0</x:v>
      </x:c>
      <x:c r="H8" s="32">
        <x:f>중기경비!H35</x:f>
        <x:v>0</x:v>
      </x:c>
      <x:c r="I8" s="32">
        <x:f>E8*H8</x:f>
        <x:v>0</x:v>
      </x:c>
      <x:c r="J8" s="32">
        <x:f>중기경비!J35</x:f>
        <x:v>6</x:v>
      </x:c>
      <x:c r="K8" s="32">
        <x:f>E8*J8</x:f>
        <x:v>6</x:v>
      </x:c>
      <x:c r="L8" s="32">
        <x:f>F8+H8+J8</x:f>
        <x:v>6</x:v>
      </x:c>
      <x:c r="M8" s="32">
        <x:f>G8+I8+K8</x:f>
        <x:v>6</x:v>
      </x:c>
      <x:c r="N8" s="27" t="s">
        <x:v>15</x:v>
      </x:c>
    </x:row>
    <x:row r="9" spans="1:14" ht="23.100000000000001" customHeight="1">
      <x:c r="A9" s="24" t="s">
        <x:v>356</x:v>
      </x:c>
      <x:c r="B9" s="23" t="s">
        <x:v>12</x:v>
      </x:c>
      <x:c r="C9" s="23" t="s">
        <x:v>327</x:v>
      </x:c>
      <x:c r="D9" s="24" t="s">
        <x:v>165</x:v>
      </x:c>
      <x:c r="E9" s="30">
        <x:v>1</x:v>
      </x:c>
      <x:c r="F9" s="32">
        <x:f>중기경비!F40</x:f>
        <x:v>0</x:v>
      </x:c>
      <x:c r="G9" s="32">
        <x:f>E9*F9</x:f>
        <x:v>0</x:v>
      </x:c>
      <x:c r="H9" s="32">
        <x:f>중기경비!H40</x:f>
        <x:v>0</x:v>
      </x:c>
      <x:c r="I9" s="32">
        <x:f>E9*H9</x:f>
        <x:v>0</x:v>
      </x:c>
      <x:c r="J9" s="32">
        <x:f>중기경비!J40</x:f>
        <x:v>124</x:v>
      </x:c>
      <x:c r="K9" s="32">
        <x:f>E9*J9</x:f>
        <x:v>124</x:v>
      </x:c>
      <x:c r="L9" s="32">
        <x:f>F9+H9+J9</x:f>
        <x:v>124</x:v>
      </x:c>
      <x:c r="M9" s="32">
        <x:f>G9+I9+K9</x:f>
        <x:v>124</x:v>
      </x:c>
      <x:c r="N9" s="27" t="s">
        <x:v>15</x:v>
      </x:c>
    </x:row>
    <x:row r="10" spans="1:14" ht="23.100000000000001" customHeight="1">
      <x:c r="A10" s="30"/>
      <x:c r="B10" s="29"/>
      <x:c r="C10" s="29"/>
      <x:c r="D10" s="30"/>
      <x:c r="E10" s="30"/>
      <x:c r="F10" s="31"/>
      <x:c r="G10" s="32"/>
      <x:c r="H10" s="31"/>
      <x:c r="I10" s="32"/>
      <x:c r="J10" s="31"/>
      <x:c r="K10" s="32"/>
      <x:c r="L10" s="31"/>
      <x:c r="M10" s="32"/>
      <x:c r="N10" s="28"/>
    </x:row>
    <x:row r="11" spans="1:14" ht="23.100000000000001" customHeight="1">
      <x:c r="A11" s="30"/>
      <x:c r="B11" s="29"/>
      <x:c r="C11" s="29"/>
      <x:c r="D11" s="30"/>
      <x:c r="E11" s="30"/>
      <x:c r="F11" s="31"/>
      <x:c r="G11" s="32"/>
      <x:c r="H11" s="31"/>
      <x:c r="I11" s="32"/>
      <x:c r="J11" s="31"/>
      <x:c r="K11" s="32"/>
      <x:c r="L11" s="31"/>
      <x:c r="M11" s="32"/>
      <x:c r="N11" s="28"/>
    </x:row>
    <x:row r="12" spans="1:14" ht="23.100000000000001" customHeight="1">
      <x:c r="A12" s="30"/>
      <x:c r="B12" s="29"/>
      <x:c r="C12" s="29"/>
      <x:c r="D12" s="30"/>
      <x:c r="E12" s="30"/>
      <x:c r="F12" s="31"/>
      <x:c r="G12" s="32"/>
      <x:c r="H12" s="31"/>
      <x:c r="I12" s="32"/>
      <x:c r="J12" s="31"/>
      <x:c r="K12" s="32"/>
      <x:c r="L12" s="31"/>
      <x:c r="M12" s="32"/>
      <x:c r="N12" s="28"/>
    </x:row>
    <x:row r="13" spans="1:14" ht="23.100000000000001" customHeight="1">
      <x:c r="A13" s="30"/>
      <x:c r="B13" s="29"/>
      <x:c r="C13" s="29"/>
      <x:c r="D13" s="30"/>
      <x:c r="E13" s="30"/>
      <x:c r="F13" s="31"/>
      <x:c r="G13" s="32"/>
      <x:c r="H13" s="31"/>
      <x:c r="I13" s="32"/>
      <x:c r="J13" s="31"/>
      <x:c r="K13" s="32"/>
      <x:c r="L13" s="31"/>
      <x:c r="M13" s="32"/>
      <x:c r="N13" s="28"/>
    </x:row>
    <x:row r="14" spans="1:14" ht="23.100000000000001" customHeight="1">
      <x:c r="A14" s="30"/>
      <x:c r="B14" s="29"/>
      <x:c r="C14" s="29"/>
      <x:c r="D14" s="30"/>
      <x:c r="E14" s="30"/>
      <x:c r="F14" s="31"/>
      <x:c r="G14" s="32"/>
      <x:c r="H14" s="31"/>
      <x:c r="I14" s="32"/>
      <x:c r="J14" s="31"/>
      <x:c r="K14" s="32"/>
      <x:c r="L14" s="31"/>
      <x:c r="M14" s="32"/>
      <x:c r="N14" s="28"/>
    </x:row>
    <x:row r="15" spans="1:14" ht="23.100000000000001" customHeight="1">
      <x:c r="A15" s="30"/>
      <x:c r="B15" s="29"/>
      <x:c r="C15" s="29"/>
      <x:c r="D15" s="30"/>
      <x:c r="E15" s="30"/>
      <x:c r="F15" s="31"/>
      <x:c r="G15" s="32"/>
      <x:c r="H15" s="31"/>
      <x:c r="I15" s="32"/>
      <x:c r="J15" s="31"/>
      <x:c r="K15" s="32"/>
      <x:c r="L15" s="31"/>
      <x:c r="M15" s="32"/>
      <x:c r="N15" s="28"/>
    </x:row>
    <x:row r="16" spans="1:14" ht="23.100000000000001" customHeight="1">
      <x:c r="A16" s="30"/>
      <x:c r="B16" s="29"/>
      <x:c r="C16" s="29"/>
      <x:c r="D16" s="30"/>
      <x:c r="E16" s="30"/>
      <x:c r="F16" s="31"/>
      <x:c r="G16" s="32"/>
      <x:c r="H16" s="31"/>
      <x:c r="I16" s="32"/>
      <x:c r="J16" s="31"/>
      <x:c r="K16" s="32"/>
      <x:c r="L16" s="31"/>
      <x:c r="M16" s="32"/>
      <x:c r="N16" s="28"/>
    </x:row>
    <x:row r="17" spans="1:14" ht="23.100000000000001" customHeight="1">
      <x:c r="A17" s="30"/>
      <x:c r="B17" s="29"/>
      <x:c r="C17" s="29"/>
      <x:c r="D17" s="30"/>
      <x:c r="E17" s="30"/>
      <x:c r="F17" s="31"/>
      <x:c r="G17" s="32"/>
      <x:c r="H17" s="31"/>
      <x:c r="I17" s="32"/>
      <x:c r="J17" s="31"/>
      <x:c r="K17" s="32"/>
      <x:c r="L17" s="31"/>
      <x:c r="M17" s="32"/>
      <x:c r="N17" s="28"/>
    </x:row>
    <x:row r="18" spans="1:14" ht="23.100000000000001" customHeight="1">
      <x:c r="A18" s="30"/>
      <x:c r="B18" s="29"/>
      <x:c r="C18" s="29"/>
      <x:c r="D18" s="30"/>
      <x:c r="E18" s="30"/>
      <x:c r="F18" s="31"/>
      <x:c r="G18" s="32"/>
      <x:c r="H18" s="31"/>
      <x:c r="I18" s="32"/>
      <x:c r="J18" s="31"/>
      <x:c r="K18" s="32"/>
      <x:c r="L18" s="31"/>
      <x:c r="M18" s="32"/>
      <x:c r="N18" s="28"/>
    </x:row>
    <x:row r="19" spans="1:14" ht="23.100000000000001" customHeight="1">
      <x:c r="A19" s="30"/>
      <x:c r="B19" s="29"/>
      <x:c r="C19" s="29"/>
      <x:c r="D19" s="30"/>
      <x:c r="E19" s="30"/>
      <x:c r="F19" s="31"/>
      <x:c r="G19" s="32"/>
      <x:c r="H19" s="31"/>
      <x:c r="I19" s="32"/>
      <x:c r="J19" s="31"/>
      <x:c r="K19" s="32"/>
      <x:c r="L19" s="31"/>
      <x:c r="M19" s="32"/>
      <x:c r="N19" s="28"/>
    </x:row>
    <x:row r="20" spans="1:14" ht="23.100000000000001" customHeight="1">
      <x:c r="A20" s="30"/>
      <x:c r="B20" s="29"/>
      <x:c r="C20" s="29"/>
      <x:c r="D20" s="30"/>
      <x:c r="E20" s="30"/>
      <x:c r="F20" s="31"/>
      <x:c r="G20" s="32"/>
      <x:c r="H20" s="31"/>
      <x:c r="I20" s="32"/>
      <x:c r="J20" s="31"/>
      <x:c r="K20" s="32"/>
      <x:c r="L20" s="31"/>
      <x:c r="M20" s="32"/>
      <x:c r="N20" s="28"/>
    </x:row>
  </x:sheetData>
  <x:mergeCells count="12">
    <x:mergeCell ref="J3:K3"/>
    <x:mergeCell ref="L3:M3"/>
    <x:mergeCell ref="A1:N1"/>
    <x:mergeCell ref="A2:N2"/>
    <x:mergeCell ref="A3:A4"/>
    <x:mergeCell ref="B3:B4"/>
    <x:mergeCell ref="C3:C4"/>
    <x:mergeCell ref="D3:D4"/>
    <x:mergeCell ref="E3:E4"/>
    <x:mergeCell ref="N3:N4"/>
    <x:mergeCell ref="F3:G3"/>
    <x:mergeCell ref="H3:I3"/>
  </x:mergeCells>
  <x:pageMargins left="0.74541664123535156" right="0" top="0.69444441795349121" bottom="0.1388888955116272" header="0.30000001192092896" footer="0.1388888955116272"/>
  <x:pageSetup paperSize="9" scale="100" firstPageNumber="1" fitToWidth="1" fitToHeight="1" orientation="landscape" usePrinterDefaults="1" blackAndWhite="0" draft="0" useFirstPageNumber="0" horizontalDpi="600" verticalDpi="600" copies="1"/>
  <x:rowBreaks count="1" manualBreakCount="1">
    <x:brk id="20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tabColor rgb="ffffffb7"/>
  </x:sheetPr>
  <x:dimension ref="A1:Q52"/>
  <x:sheetViews>
    <x:sheetView topLeftCell="A1" zoomScaleNormal="100" workbookViewId="0">
      <x:selection activeCell="A1" activeCellId="0" sqref="A1:M1"/>
    </x:sheetView>
  </x:sheetViews>
  <x:sheetFormatPr defaultColWidth="9.00390625" defaultRowHeight="10.550000000000001"/>
  <x:cols>
    <x:col min="1" max="2" width="19.625" style="16" customWidth="1"/>
    <x:col min="3" max="3" width="4.625" style="17" customWidth="1"/>
    <x:col min="4" max="5" width="6.625" style="18" customWidth="1"/>
    <x:col min="6" max="6" width="8.625" style="18" customWidth="1"/>
    <x:col min="7" max="7" width="6.625" style="18" customWidth="1"/>
    <x:col min="8" max="8" width="8.625" style="18" customWidth="1"/>
    <x:col min="9" max="9" width="6.625" style="18" customWidth="1"/>
    <x:col min="10" max="10" width="8.625" style="18" customWidth="1"/>
    <x:col min="11" max="11" width="6.625" style="18" customWidth="1"/>
    <x:col min="12" max="12" width="8.625" style="18" customWidth="1"/>
    <x:col min="13" max="13" width="8.625" style="19" customWidth="1"/>
    <x:col min="14" max="17" width="0" style="16" hidden="1" customWidth="1"/>
    <x:col min="18" max="16384" width="9" style="16"/>
  </x:cols>
  <x:sheetData>
    <x:row r="1" spans="1:13" ht="30" customHeight="1">
      <x:c r="A1" s="98" t="s">
        <x:v>250</x:v>
      </x:c>
      <x:c r="B1" s="98"/>
      <x:c r="C1" s="98"/>
      <x:c r="D1" s="98"/>
      <x:c r="E1" s="98"/>
      <x:c r="F1" s="98"/>
      <x:c r="G1" s="98"/>
      <x:c r="H1" s="98"/>
      <x:c r="I1" s="98"/>
      <x:c r="J1" s="98"/>
      <x:c r="K1" s="98"/>
      <x:c r="L1" s="98"/>
      <x:c r="M1" s="98"/>
    </x:row>
    <x:row r="2" spans="1:13" ht="23.100000000000001" customHeight="1">
      <x:c r="A2" s="112" t="s">
        <x:v>240</x:v>
      </x:c>
      <x:c r="B2" s="112"/>
      <x:c r="C2" s="112"/>
      <x:c r="D2" s="112"/>
      <x:c r="E2" s="112"/>
      <x:c r="F2" s="112"/>
      <x:c r="G2" s="112"/>
      <x:c r="H2" s="112"/>
      <x:c r="I2" s="112"/>
      <x:c r="J2" s="112"/>
      <x:c r="K2" s="112"/>
      <x:c r="L2" s="112"/>
      <x:c r="M2" s="112"/>
    </x:row>
    <x:row r="3" spans="1:13" ht="23.100000000000001" customHeight="1">
      <x:c r="A3" s="111" t="s">
        <x:v>530</x:v>
      </x:c>
      <x:c r="B3" s="111" t="s">
        <x:v>531</x:v>
      </x:c>
      <x:c r="C3" s="111" t="s">
        <x:v>225</x:v>
      </x:c>
      <x:c r="D3" s="111" t="s">
        <x:v>332</x:v>
      </x:c>
      <x:c r="E3" s="111" t="s">
        <x:v>13</x:v>
      </x:c>
      <x:c r="F3" s="111"/>
      <x:c r="G3" s="111" t="s">
        <x:v>20</x:v>
      </x:c>
      <x:c r="H3" s="111"/>
      <x:c r="I3" s="111" t="s">
        <x:v>16</x:v>
      </x:c>
      <x:c r="J3" s="111"/>
      <x:c r="K3" s="111" t="s">
        <x:v>19</x:v>
      </x:c>
      <x:c r="L3" s="111"/>
      <x:c r="M3" s="111" t="s">
        <x:v>333</x:v>
      </x:c>
    </x:row>
    <x:row r="4" spans="1:17" ht="23.100000000000001" customHeight="1">
      <x:c r="A4" s="111"/>
      <x:c r="B4" s="111"/>
      <x:c r="C4" s="111"/>
      <x:c r="D4" s="111"/>
      <x:c r="E4" s="22" t="s">
        <x:v>334</x:v>
      </x:c>
      <x:c r="F4" s="22" t="s">
        <x:v>340</x:v>
      </x:c>
      <x:c r="G4" s="22" t="s">
        <x:v>334</x:v>
      </x:c>
      <x:c r="H4" s="22" t="s">
        <x:v>340</x:v>
      </x:c>
      <x:c r="I4" s="22" t="s">
        <x:v>334</x:v>
      </x:c>
      <x:c r="J4" s="22" t="s">
        <x:v>340</x:v>
      </x:c>
      <x:c r="K4" s="22" t="s">
        <x:v>334</x:v>
      </x:c>
      <x:c r="L4" s="22" t="s">
        <x:v>340</x:v>
      </x:c>
      <x:c r="M4" s="111"/>
      <x:c r="N4" s="16" t="s">
        <x:v>336</x:v>
      </x:c>
      <x:c r="O4" s="16" t="s">
        <x:v>337</x:v>
      </x:c>
      <x:c r="P4" s="16" t="s">
        <x:v>338</x:v>
      </x:c>
      <x:c r="Q4" s="16" t="s">
        <x:v>339</x:v>
      </x:c>
    </x:row>
    <x:row r="5" spans="1:13" ht="23.100000000000001" customHeight="1">
      <x:c r="A5" s="23" t="s">
        <x:v>526</x:v>
      </x:c>
      <x:c r="B5" s="23" t="s">
        <x:v>345</x:v>
      </x:c>
      <x:c r="C5" s="24" t="s">
        <x:v>165</x:v>
      </x:c>
      <x:c r="D5" s="25"/>
      <x:c r="E5" s="26"/>
      <x:c r="F5" s="26"/>
      <x:c r="G5" s="26"/>
      <x:c r="H5" s="26"/>
      <x:c r="I5" s="26"/>
      <x:c r="J5" s="26"/>
      <x:c r="K5" s="26"/>
      <x:c r="L5" s="26"/>
      <x:c r="M5" s="27" t="s">
        <x:v>15</x:v>
      </x:c>
    </x:row>
    <x:row r="6" spans="1:13" ht="23.100000000000001" customHeight="1">
      <x:c r="A6" s="23" t="s">
        <x:v>341</x:v>
      </x:c>
      <x:c r="B6" s="23" t="s">
        <x:v>220</x:v>
      </x:c>
      <x:c r="C6" s="24" t="s">
        <x:v>220</x:v>
      </x:c>
      <x:c r="D6" s="25"/>
      <x:c r="E6" s="26"/>
      <x:c r="F6" s="26"/>
      <x:c r="G6" s="26"/>
      <x:c r="H6" s="26"/>
      <x:c r="I6" s="26"/>
      <x:c r="J6" s="26"/>
      <x:c r="K6" s="26">
        <x:f>E6+G6+I6</x:f>
        <x:v>0</x:v>
      </x:c>
      <x:c r="L6" s="26">
        <x:f>F6+H6+J6</x:f>
        <x:v>0</x:v>
      </x:c>
      <x:c r="M6" s="28"/>
    </x:row>
    <x:row r="7" spans="1:17" ht="23.100000000000001" customHeight="1">
      <x:c r="A7" s="23" t="s">
        <x:v>331</x:v>
      </x:c>
      <x:c r="B7" s="23" t="s">
        <x:v>325</x:v>
      </x:c>
      <x:c r="C7" s="24" t="s">
        <x:v>168</x:v>
      </x:c>
      <x:c r="D7" s="25">
        <x:v>0.0004677</x:v>
      </x:c>
      <x:c r="E7" s="26"/>
      <x:c r="F7" s="26"/>
      <x:c r="G7" s="26"/>
      <x:c r="H7" s="26"/>
      <x:c r="I7" s="26">
        <x:f>자재단가대비표!N57</x:f>
        <x:v>33000000</x:v>
      </x:c>
      <x:c r="J7" s="26">
        <x:f>ROUNDDOWN(D7*I7,1)</x:f>
        <x:v>15434.1</x:v>
      </x:c>
      <x:c r="K7" s="26">
        <x:f>E7+G7+I7</x:f>
        <x:v>33000000</x:v>
      </x:c>
      <x:c r="L7" s="26">
        <x:f>F7+H7+J7</x:f>
        <x:v>15434.1</x:v>
      </x:c>
      <x:c r="M7" s="27" t="s">
        <x:v>324</x:v>
      </x:c>
      <x:c r="O7" s="20" t="s">
        <x:v>164</x:v>
      </x:c>
      <x:c r="P7" s="20" t="s">
        <x:v>342</x:v>
      </x:c>
      <x:c r="Q7" s="16">
        <x:v>1</x:v>
      </x:c>
    </x:row>
    <x:row r="8" spans="1:13" ht="23.100000000000001" customHeight="1">
      <x:c r="A8" s="23" t="s">
        <x:v>343</x:v>
      </x:c>
      <x:c r="B8" s="23" t="s">
        <x:v>220</x:v>
      </x:c>
      <x:c r="C8" s="24" t="s">
        <x:v>220</x:v>
      </x:c>
      <x:c r="D8" s="25"/>
      <x:c r="E8" s="26"/>
      <x:c r="F8" s="26"/>
      <x:c r="G8" s="26"/>
      <x:c r="H8" s="26"/>
      <x:c r="I8" s="26"/>
      <x:c r="J8" s="26">
        <x:f>SUMIF($Q$6:$Q$7,1,$J$6:$J$7)</x:f>
        <x:v>15434.1</x:v>
      </x:c>
      <x:c r="K8" s="26"/>
      <x:c r="L8" s="26">
        <x:f>F8+H8+J8</x:f>
        <x:v>15434.1</x:v>
      </x:c>
      <x:c r="M8" s="28"/>
    </x:row>
    <x:row r="9" spans="1:13" ht="23.100000000000001" customHeight="1">
      <x:c r="A9" s="23" t="s">
        <x:v>163</x:v>
      </x:c>
      <x:c r="B9" s="23" t="s">
        <x:v>220</x:v>
      </x:c>
      <x:c r="C9" s="24" t="s">
        <x:v>220</x:v>
      </x:c>
      <x:c r="D9" s="25"/>
      <x:c r="E9" s="26"/>
      <x:c r="F9" s="26"/>
      <x:c r="G9" s="26"/>
      <x:c r="H9" s="26"/>
      <x:c r="I9" s="26"/>
      <x:c r="J9" s="26"/>
      <x:c r="K9" s="26">
        <x:f>E9+G9+I9</x:f>
        <x:v>0</x:v>
      </x:c>
      <x:c r="L9" s="26">
        <x:f>F9+H9+J9</x:f>
        <x:v>0</x:v>
      </x:c>
      <x:c r="M9" s="28"/>
    </x:row>
    <x:row r="10" spans="1:17" ht="23.100000000000001" customHeight="1">
      <x:c r="A10" s="23" t="s">
        <x:v>185</x:v>
      </x:c>
      <x:c r="B10" s="23" t="s">
        <x:v>220</x:v>
      </x:c>
      <x:c r="C10" s="24" t="s">
        <x:v>184</x:v>
      </x:c>
      <x:c r="D10" s="25">
        <x:v>37</x:v>
      </x:c>
      <x:c r="E10" s="26">
        <x:f>ROUNDDOWN(자재단가대비표!N37,2)</x:f>
        <x:v>61.299999999999997</x:v>
      </x:c>
      <x:c r="F10" s="26">
        <x:f>ROUNDDOWN(D10*E10,1)</x:f>
        <x:v>2268.0999999999999</x:v>
      </x:c>
      <x:c r="G10" s="26"/>
      <x:c r="H10" s="26"/>
      <x:c r="I10" s="26"/>
      <x:c r="J10" s="26"/>
      <x:c r="K10" s="26">
        <x:f>E10+G10+I10</x:f>
        <x:v>61.299999999999997</x:v>
      </x:c>
      <x:c r="L10" s="26">
        <x:f>F10+H10+J10</x:f>
        <x:v>2268.0999999999999</x:v>
      </x:c>
      <x:c r="M10" s="28"/>
      <x:c r="O10" s="20" t="s">
        <x:v>164</x:v>
      </x:c>
      <x:c r="P10" s="20" t="s">
        <x:v>342</x:v>
      </x:c>
      <x:c r="Q10" s="16">
        <x:v>1</x:v>
      </x:c>
    </x:row>
    <x:row r="11" spans="1:13" ht="23.100000000000001" customHeight="1">
      <x:c r="A11" s="23" t="s">
        <x:v>343</x:v>
      </x:c>
      <x:c r="B11" s="23" t="s">
        <x:v>220</x:v>
      </x:c>
      <x:c r="C11" s="24" t="s">
        <x:v>220</x:v>
      </x:c>
      <x:c r="D11" s="25"/>
      <x:c r="E11" s="26"/>
      <x:c r="F11" s="26">
        <x:f>SUMIF($Q$9:$Q$10,1,$F$9:$F$10)</x:f>
        <x:v>2268.0999999999999</x:v>
      </x:c>
      <x:c r="G11" s="26"/>
      <x:c r="H11" s="26"/>
      <x:c r="I11" s="26"/>
      <x:c r="J11" s="26"/>
      <x:c r="K11" s="26"/>
      <x:c r="L11" s="26">
        <x:f>F11+H11+J11</x:f>
        <x:v>2268.0999999999999</x:v>
      </x:c>
      <x:c r="M11" s="28"/>
    </x:row>
    <x:row r="12" spans="1:13" ht="23.100000000000001" customHeight="1">
      <x:c r="A12" s="24" t="s">
        <x:v>344</x:v>
      </x:c>
      <x:c r="B12" s="29"/>
      <x:c r="C12" s="30"/>
      <x:c r="D12" s="31"/>
      <x:c r="E12" s="31"/>
      <x:c r="F12" s="32">
        <x:f>ROUNDDOWN(SUMIF($Q$6:$Q$11,1,$F$6:$F$11),0)</x:f>
        <x:v>2268</x:v>
      </x:c>
      <x:c r="G12" s="31"/>
      <x:c r="H12" s="32">
        <x:f>ROUNDDOWN(SUMIF($Q$6:$Q$11,1,$H$6:$H$11),0)</x:f>
        <x:v>0</x:v>
      </x:c>
      <x:c r="I12" s="31"/>
      <x:c r="J12" s="32">
        <x:f>ROUNDDOWN(SUMIF($Q$6:$Q$11,1,$J$6:$J$11),0)</x:f>
        <x:v>15434</x:v>
      </x:c>
      <x:c r="K12" s="31"/>
      <x:c r="L12" s="32">
        <x:f>F12+H12+J12</x:f>
        <x:v>17702</x:v>
      </x:c>
      <x:c r="M12" s="28"/>
    </x:row>
    <x:row r="13" spans="1:13" ht="23.100000000000001" customHeight="1">
      <x:c r="A13" s="23" t="s">
        <x:v>527</x:v>
      </x:c>
      <x:c r="B13" s="23" t="s">
        <x:v>21</x:v>
      </x:c>
      <x:c r="C13" s="24" t="s">
        <x:v>165</x:v>
      </x:c>
      <x:c r="D13" s="25"/>
      <x:c r="E13" s="26"/>
      <x:c r="F13" s="26"/>
      <x:c r="G13" s="26"/>
      <x:c r="H13" s="26"/>
      <x:c r="I13" s="26"/>
      <x:c r="J13" s="26"/>
      <x:c r="K13" s="26"/>
      <x:c r="L13" s="26"/>
      <x:c r="M13" s="27" t="s">
        <x:v>15</x:v>
      </x:c>
    </x:row>
    <x:row r="14" spans="1:13" ht="23.100000000000001" customHeight="1">
      <x:c r="A14" s="23" t="s">
        <x:v>341</x:v>
      </x:c>
      <x:c r="B14" s="23" t="s">
        <x:v>220</x:v>
      </x:c>
      <x:c r="C14" s="24" t="s">
        <x:v>220</x:v>
      </x:c>
      <x:c r="D14" s="25"/>
      <x:c r="E14" s="26"/>
      <x:c r="F14" s="26"/>
      <x:c r="G14" s="26"/>
      <x:c r="H14" s="26"/>
      <x:c r="I14" s="26"/>
      <x:c r="J14" s="26"/>
      <x:c r="K14" s="26">
        <x:f>E14+G14+I14</x:f>
        <x:v>0</x:v>
      </x:c>
      <x:c r="L14" s="26">
        <x:f>F14+H14+J14</x:f>
        <x:v>0</x:v>
      </x:c>
      <x:c r="M14" s="28"/>
    </x:row>
    <x:row r="15" spans="1:17" ht="23.100000000000001" customHeight="1">
      <x:c r="A15" s="23" t="s">
        <x:v>322</x:v>
      </x:c>
      <x:c r="B15" s="23" t="s">
        <x:v>323</x:v>
      </x:c>
      <x:c r="C15" s="24" t="s">
        <x:v>168</x:v>
      </x:c>
      <x:c r="D15" s="25">
        <x:v>0.00037080000000000002</x:v>
      </x:c>
      <x:c r="E15" s="26"/>
      <x:c r="F15" s="26"/>
      <x:c r="G15" s="26"/>
      <x:c r="H15" s="26"/>
      <x:c r="I15" s="26">
        <x:f>자재단가대비표!N56</x:f>
        <x:v>4552000</x:v>
      </x:c>
      <x:c r="J15" s="26">
        <x:f>ROUNDDOWN(D15*I15,1)</x:f>
        <x:v>1687.8</x:v>
      </x:c>
      <x:c r="K15" s="26">
        <x:f>E15+G15+I15</x:f>
        <x:v>4552000</x:v>
      </x:c>
      <x:c r="L15" s="26">
        <x:f>F15+H15+J15</x:f>
        <x:v>1687.8</x:v>
      </x:c>
      <x:c r="M15" s="27" t="s">
        <x:v>324</x:v>
      </x:c>
      <x:c r="O15" s="20" t="s">
        <x:v>164</x:v>
      </x:c>
      <x:c r="P15" s="20" t="s">
        <x:v>342</x:v>
      </x:c>
      <x:c r="Q15" s="16">
        <x:v>1</x:v>
      </x:c>
    </x:row>
    <x:row r="16" spans="1:13" ht="23.100000000000001" customHeight="1">
      <x:c r="A16" s="23" t="s">
        <x:v>343</x:v>
      </x:c>
      <x:c r="B16" s="23" t="s">
        <x:v>220</x:v>
      </x:c>
      <x:c r="C16" s="24" t="s">
        <x:v>220</x:v>
      </x:c>
      <x:c r="D16" s="25"/>
      <x:c r="E16" s="26"/>
      <x:c r="F16" s="26"/>
      <x:c r="G16" s="26"/>
      <x:c r="H16" s="26"/>
      <x:c r="I16" s="26"/>
      <x:c r="J16" s="26">
        <x:f>SUMIF($Q$14:$Q$15,1,$J$14:$J$15)</x:f>
        <x:v>1687.8</x:v>
      </x:c>
      <x:c r="K16" s="26"/>
      <x:c r="L16" s="26">
        <x:f>F16+H16+J16</x:f>
        <x:v>1687.8</x:v>
      </x:c>
      <x:c r="M16" s="28"/>
    </x:row>
    <x:row r="17" spans="1:13" ht="23.100000000000001" customHeight="1">
      <x:c r="A17" s="23" t="s">
        <x:v>163</x:v>
      </x:c>
      <x:c r="B17" s="23" t="s">
        <x:v>220</x:v>
      </x:c>
      <x:c r="C17" s="24" t="s">
        <x:v>220</x:v>
      </x:c>
      <x:c r="D17" s="25"/>
      <x:c r="E17" s="26"/>
      <x:c r="F17" s="26"/>
      <x:c r="G17" s="26"/>
      <x:c r="H17" s="26"/>
      <x:c r="I17" s="26"/>
      <x:c r="J17" s="26"/>
      <x:c r="K17" s="26">
        <x:f>E17+G17+I17</x:f>
        <x:v>0</x:v>
      </x:c>
      <x:c r="L17" s="26">
        <x:f>F17+H17+J17</x:f>
        <x:v>0</x:v>
      </x:c>
      <x:c r="M17" s="28"/>
    </x:row>
    <x:row r="18" spans="1:17" ht="23.100000000000001" customHeight="1">
      <x:c r="A18" s="23" t="s">
        <x:v>180</x:v>
      </x:c>
      <x:c r="B18" s="23" t="s">
        <x:v>179</x:v>
      </x:c>
      <x:c r="C18" s="24" t="s">
        <x:v>208</x:v>
      </x:c>
      <x:c r="D18" s="25">
        <x:v>1.3</x:v>
      </x:c>
      <x:c r="E18" s="26">
        <x:f>자재단가대비표!N42</x:f>
        <x:v>1366</x:v>
      </x:c>
      <x:c r="F18" s="26">
        <x:f>ROUNDDOWN(D18*E18,1)</x:f>
        <x:v>1775.8</x:v>
      </x:c>
      <x:c r="G18" s="26"/>
      <x:c r="H18" s="26"/>
      <x:c r="I18" s="26"/>
      <x:c r="J18" s="26"/>
      <x:c r="K18" s="26">
        <x:f>E18+G18+I18</x:f>
        <x:v>1366</x:v>
      </x:c>
      <x:c r="L18" s="26">
        <x:f>F18+H18+J18</x:f>
        <x:v>1775.8</x:v>
      </x:c>
      <x:c r="M18" s="28"/>
      <x:c r="O18" s="20" t="s">
        <x:v>162</x:v>
      </x:c>
      <x:c r="P18" s="20" t="s">
        <x:v>342</x:v>
      </x:c>
      <x:c r="Q18" s="16">
        <x:v>1</x:v>
      </x:c>
    </x:row>
    <x:row r="19" spans="1:17" ht="23.100000000000001" customHeight="1">
      <x:c r="A19" s="23" t="s">
        <x:v>161</x:v>
      </x:c>
      <x:c r="B19" s="29" t="str">
        <x:f>"주연료비의 "&amp;N19*100&amp;"%"</x:f>
        <x:v>주연료비의 2%</x:v>
      </x:c>
      <x:c r="C19" s="24" t="s">
        <x:v>160</x:v>
      </x:c>
      <x:c r="D19" s="33" t="s">
        <x:v>158</x:v>
      </x:c>
      <x:c r="E19" s="26">
        <x:f>SUMIF($O$13:O21,"04",$F$13:F21)</x:f>
        <x:v>1775.8</x:v>
      </x:c>
      <x:c r="F19" s="26">
        <x:f>ROUNDDOWN(E19*N19,1)</x:f>
        <x:v>35.5</x:v>
      </x:c>
      <x:c r="G19" s="26"/>
      <x:c r="H19" s="26"/>
      <x:c r="I19" s="26"/>
      <x:c r="J19" s="26"/>
      <x:c r="K19" s="26">
        <x:f>E19+G19+I19</x:f>
        <x:v>1775.8</x:v>
      </x:c>
      <x:c r="L19" s="26">
        <x:f>F19+H19+J19</x:f>
        <x:v>35.5</x:v>
      </x:c>
      <x:c r="M19" s="28"/>
      <x:c r="N19" s="21">
        <x:v>0.020000000000000001</x:v>
      </x:c>
      <x:c r="P19" s="20" t="s">
        <x:v>342</x:v>
      </x:c>
      <x:c r="Q19" s="16">
        <x:v>1</x:v>
      </x:c>
    </x:row>
    <x:row r="20" spans="1:17" ht="23.100000000000001" customHeight="1">
      <x:c r="A20" s="23" t="s">
        <x:v>185</x:v>
      </x:c>
      <x:c r="B20" s="23" t="s">
        <x:v>220</x:v>
      </x:c>
      <x:c r="C20" s="24" t="s">
        <x:v>184</x:v>
      </x:c>
      <x:c r="D20" s="25">
        <x:v>1.8700000000000001</x:v>
      </x:c>
      <x:c r="E20" s="26">
        <x:f>ROUNDDOWN(자재단가대비표!N37,2)</x:f>
        <x:v>61.299999999999997</x:v>
      </x:c>
      <x:c r="F20" s="26">
        <x:f>ROUNDDOWN(D20*E20,1)</x:f>
        <x:v>114.59999999999999</x:v>
      </x:c>
      <x:c r="G20" s="26"/>
      <x:c r="H20" s="26"/>
      <x:c r="I20" s="26"/>
      <x:c r="J20" s="26"/>
      <x:c r="K20" s="26">
        <x:f>E20+G20+I20</x:f>
        <x:v>61.299999999999997</x:v>
      </x:c>
      <x:c r="L20" s="26">
        <x:f>F20+H20+J20</x:f>
        <x:v>114.59999999999999</x:v>
      </x:c>
      <x:c r="M20" s="28"/>
      <x:c r="O20" s="20" t="s">
        <x:v>159</x:v>
      </x:c>
      <x:c r="P20" s="20" t="s">
        <x:v>342</x:v>
      </x:c>
      <x:c r="Q20" s="16">
        <x:v>1</x:v>
      </x:c>
    </x:row>
    <x:row r="21" spans="1:13" ht="23.100000000000001" customHeight="1">
      <x:c r="A21" s="23" t="s">
        <x:v>343</x:v>
      </x:c>
      <x:c r="B21" s="23" t="s">
        <x:v>220</x:v>
      </x:c>
      <x:c r="C21" s="24" t="s">
        <x:v>220</x:v>
      </x:c>
      <x:c r="D21" s="25"/>
      <x:c r="E21" s="26"/>
      <x:c r="F21" s="26">
        <x:f>SUMIF($Q$17:$Q$20,1,$F$17:$F$20)</x:f>
        <x:v>1925.8999999999999</x:v>
      </x:c>
      <x:c r="G21" s="26"/>
      <x:c r="H21" s="26"/>
      <x:c r="I21" s="26"/>
      <x:c r="J21" s="26"/>
      <x:c r="K21" s="26"/>
      <x:c r="L21" s="26">
        <x:f>F21+H21+J21</x:f>
        <x:v>1925.8999999999999</x:v>
      </x:c>
      <x:c r="M21" s="28"/>
    </x:row>
    <x:row r="22" spans="1:13" ht="23.100000000000001" customHeight="1">
      <x:c r="A22" s="24" t="s">
        <x:v>344</x:v>
      </x:c>
      <x:c r="B22" s="29"/>
      <x:c r="C22" s="30"/>
      <x:c r="D22" s="31"/>
      <x:c r="E22" s="31"/>
      <x:c r="F22" s="32">
        <x:f>ROUNDDOWN(SUMIF($Q$14:$Q$21,1,$F$14:$F$21),0)</x:f>
        <x:v>1925</x:v>
      </x:c>
      <x:c r="G22" s="31"/>
      <x:c r="H22" s="32">
        <x:f>ROUNDDOWN(SUMIF($Q$14:$Q$21,1,$H$14:$H$21),0)</x:f>
        <x:v>0</x:v>
      </x:c>
      <x:c r="I22" s="31"/>
      <x:c r="J22" s="32">
        <x:f>ROUNDDOWN(SUMIF($Q$14:$Q$21,1,$J$14:$J$21),0)</x:f>
        <x:v>1687</x:v>
      </x:c>
      <x:c r="K22" s="31"/>
      <x:c r="L22" s="32">
        <x:f>F22+H22+J22</x:f>
        <x:v>3612</x:v>
      </x:c>
      <x:c r="M22" s="28"/>
    </x:row>
    <x:row r="23" spans="1:13" ht="23.100000000000001" customHeight="1">
      <x:c r="A23" s="23" t="s">
        <x:v>22</x:v>
      </x:c>
      <x:c r="B23" s="23" t="s">
        <x:v>350</x:v>
      </x:c>
      <x:c r="C23" s="24" t="s">
        <x:v>165</x:v>
      </x:c>
      <x:c r="D23" s="25"/>
      <x:c r="E23" s="26"/>
      <x:c r="F23" s="26"/>
      <x:c r="G23" s="26"/>
      <x:c r="H23" s="26"/>
      <x:c r="I23" s="26"/>
      <x:c r="J23" s="26"/>
      <x:c r="K23" s="26"/>
      <x:c r="L23" s="26"/>
      <x:c r="M23" s="27" t="s">
        <x:v>15</x:v>
      </x:c>
    </x:row>
    <x:row r="24" spans="1:13" ht="23.100000000000001" customHeight="1">
      <x:c r="A24" s="23" t="s">
        <x:v>341</x:v>
      </x:c>
      <x:c r="B24" s="23" t="s">
        <x:v>220</x:v>
      </x:c>
      <x:c r="C24" s="24" t="s">
        <x:v>220</x:v>
      </x:c>
      <x:c r="D24" s="25"/>
      <x:c r="E24" s="26"/>
      <x:c r="F24" s="26"/>
      <x:c r="G24" s="26"/>
      <x:c r="H24" s="26"/>
      <x:c r="I24" s="26"/>
      <x:c r="J24" s="26"/>
      <x:c r="K24" s="26">
        <x:f>E24+G24+I24</x:f>
        <x:v>0</x:v>
      </x:c>
      <x:c r="L24" s="26">
        <x:f>F24+H24+J24</x:f>
        <x:v>0</x:v>
      </x:c>
      <x:c r="M24" s="28"/>
    </x:row>
    <x:row r="25" spans="1:17" ht="23.100000000000001" customHeight="1">
      <x:c r="A25" s="23" t="s">
        <x:v>167</x:v>
      </x:c>
      <x:c r="B25" s="23" t="s">
        <x:v>166</x:v>
      </x:c>
      <x:c r="C25" s="24" t="s">
        <x:v>168</x:v>
      </x:c>
      <x:c r="D25" s="25">
        <x:v>0.00033750000000000002</x:v>
      </x:c>
      <x:c r="E25" s="26"/>
      <x:c r="F25" s="26"/>
      <x:c r="G25" s="26"/>
      <x:c r="H25" s="26"/>
      <x:c r="I25" s="26">
        <x:f>자재단가대비표!N59</x:f>
        <x:v>30000</x:v>
      </x:c>
      <x:c r="J25" s="26">
        <x:f>ROUNDDOWN(D25*I25,1)</x:f>
        <x:v>10.1</x:v>
      </x:c>
      <x:c r="K25" s="26">
        <x:f>E25+G25+I25</x:f>
        <x:v>30000</x:v>
      </x:c>
      <x:c r="L25" s="26">
        <x:f>F25+H25+J25</x:f>
        <x:v>10.1</x:v>
      </x:c>
      <x:c r="M25" s="27" t="s">
        <x:v>324</x:v>
      </x:c>
      <x:c r="O25" s="20" t="s">
        <x:v>164</x:v>
      </x:c>
      <x:c r="P25" s="20" t="s">
        <x:v>342</x:v>
      </x:c>
      <x:c r="Q25" s="16">
        <x:v>1</x:v>
      </x:c>
    </x:row>
    <x:row r="26" spans="1:13" ht="23.100000000000001" customHeight="1">
      <x:c r="A26" s="23" t="s">
        <x:v>343</x:v>
      </x:c>
      <x:c r="B26" s="23" t="s">
        <x:v>220</x:v>
      </x:c>
      <x:c r="C26" s="24" t="s">
        <x:v>220</x:v>
      </x:c>
      <x:c r="D26" s="25"/>
      <x:c r="E26" s="26"/>
      <x:c r="F26" s="26"/>
      <x:c r="G26" s="26"/>
      <x:c r="H26" s="26"/>
      <x:c r="I26" s="26"/>
      <x:c r="J26" s="26">
        <x:f>SUMIF($Q$24:$Q$25,1,$J$24:$J$25)</x:f>
        <x:v>10.1</x:v>
      </x:c>
      <x:c r="K26" s="26"/>
      <x:c r="L26" s="26">
        <x:f>F26+H26+J26</x:f>
        <x:v>10.1</x:v>
      </x:c>
      <x:c r="M26" s="28"/>
    </x:row>
    <x:row r="27" spans="1:13" ht="23.100000000000001" customHeight="1">
      <x:c r="A27" s="23" t="s">
        <x:v>163</x:v>
      </x:c>
      <x:c r="B27" s="23" t="s">
        <x:v>220</x:v>
      </x:c>
      <x:c r="C27" s="24" t="s">
        <x:v>220</x:v>
      </x:c>
      <x:c r="D27" s="25"/>
      <x:c r="E27" s="26"/>
      <x:c r="F27" s="26"/>
      <x:c r="G27" s="26"/>
      <x:c r="H27" s="26"/>
      <x:c r="I27" s="26"/>
      <x:c r="J27" s="26"/>
      <x:c r="K27" s="26">
        <x:f>E27+G27+I27</x:f>
        <x:v>0</x:v>
      </x:c>
      <x:c r="L27" s="26">
        <x:f>F27+H27+J27</x:f>
        <x:v>0</x:v>
      </x:c>
      <x:c r="M27" s="28"/>
    </x:row>
    <x:row r="28" spans="1:17" ht="23.100000000000001" customHeight="1">
      <x:c r="A28" s="23" t="s">
        <x:v>185</x:v>
      </x:c>
      <x:c r="B28" s="23" t="s">
        <x:v>220</x:v>
      </x:c>
      <x:c r="C28" s="24" t="s">
        <x:v>184</x:v>
      </x:c>
      <x:c r="D28" s="25">
        <x:v>1.49</x:v>
      </x:c>
      <x:c r="E28" s="26">
        <x:f>ROUNDDOWN(자재단가대비표!N37,2)</x:f>
        <x:v>61.299999999999997</x:v>
      </x:c>
      <x:c r="F28" s="26">
        <x:f>ROUNDDOWN(D28*E28,1)</x:f>
        <x:v>91.299999999999997</x:v>
      </x:c>
      <x:c r="G28" s="26"/>
      <x:c r="H28" s="26"/>
      <x:c r="I28" s="26"/>
      <x:c r="J28" s="26"/>
      <x:c r="K28" s="26">
        <x:f>E28+G28+I28</x:f>
        <x:v>61.299999999999997</x:v>
      </x:c>
      <x:c r="L28" s="26">
        <x:f>F28+H28+J28</x:f>
        <x:v>91.299999999999997</x:v>
      </x:c>
      <x:c r="M28" s="28"/>
      <x:c r="O28" s="20" t="s">
        <x:v>159</x:v>
      </x:c>
      <x:c r="P28" s="20" t="s">
        <x:v>342</x:v>
      </x:c>
      <x:c r="Q28" s="16">
        <x:v>1</x:v>
      </x:c>
    </x:row>
    <x:row r="29" spans="1:13" ht="23.100000000000001" customHeight="1">
      <x:c r="A29" s="23" t="s">
        <x:v>343</x:v>
      </x:c>
      <x:c r="B29" s="23" t="s">
        <x:v>220</x:v>
      </x:c>
      <x:c r="C29" s="24" t="s">
        <x:v>220</x:v>
      </x:c>
      <x:c r="D29" s="25"/>
      <x:c r="E29" s="26"/>
      <x:c r="F29" s="26">
        <x:f>SUMIF($Q$27:$Q$28,1,$F$27:$F$28)</x:f>
        <x:v>91.299999999999997</x:v>
      </x:c>
      <x:c r="G29" s="26"/>
      <x:c r="H29" s="26"/>
      <x:c r="I29" s="26"/>
      <x:c r="J29" s="26"/>
      <x:c r="K29" s="26"/>
      <x:c r="L29" s="26">
        <x:f>F29+H29+J29</x:f>
        <x:v>91.299999999999997</x:v>
      </x:c>
      <x:c r="M29" s="28"/>
    </x:row>
    <x:row r="30" spans="1:13" ht="23.100000000000001" customHeight="1">
      <x:c r="A30" s="24" t="s">
        <x:v>344</x:v>
      </x:c>
      <x:c r="B30" s="29"/>
      <x:c r="C30" s="30"/>
      <x:c r="D30" s="31"/>
      <x:c r="E30" s="31"/>
      <x:c r="F30" s="32">
        <x:f>ROUNDDOWN(SUMIF($Q$24:$Q$29,1,$F$24:$F$29),0)</x:f>
        <x:v>91</x:v>
      </x:c>
      <x:c r="G30" s="31"/>
      <x:c r="H30" s="32">
        <x:f>ROUNDDOWN(SUMIF($Q$24:$Q$29,1,$H$24:$H$29),0)</x:f>
        <x:v>0</x:v>
      </x:c>
      <x:c r="I30" s="31"/>
      <x:c r="J30" s="32">
        <x:f>ROUNDDOWN(SUMIF($Q$24:$Q$29,1,$J$24:$J$29),0)</x:f>
        <x:v>10</x:v>
      </x:c>
      <x:c r="K30" s="31"/>
      <x:c r="L30" s="32">
        <x:f>F30+H30+J30</x:f>
        <x:v>101</x:v>
      </x:c>
      <x:c r="M30" s="28"/>
    </x:row>
    <x:row r="31" spans="1:13" ht="23.100000000000001" customHeight="1">
      <x:c r="A31" s="23" t="s">
        <x:v>525</x:v>
      </x:c>
      <x:c r="B31" s="23" t="s">
        <x:v>99</x:v>
      </x:c>
      <x:c r="C31" s="24" t="s">
        <x:v>165</x:v>
      </x:c>
      <x:c r="D31" s="25"/>
      <x:c r="E31" s="26"/>
      <x:c r="F31" s="26"/>
      <x:c r="G31" s="26"/>
      <x:c r="H31" s="26"/>
      <x:c r="I31" s="26"/>
      <x:c r="J31" s="26"/>
      <x:c r="K31" s="26"/>
      <x:c r="L31" s="26"/>
      <x:c r="M31" s="27" t="s">
        <x:v>15</x:v>
      </x:c>
    </x:row>
    <x:row r="32" spans="1:13" ht="23.100000000000001" customHeight="1">
      <x:c r="A32" s="23" t="s">
        <x:v>341</x:v>
      </x:c>
      <x:c r="B32" s="23" t="s">
        <x:v>220</x:v>
      </x:c>
      <x:c r="C32" s="24" t="s">
        <x:v>220</x:v>
      </x:c>
      <x:c r="D32" s="25"/>
      <x:c r="E32" s="26"/>
      <x:c r="F32" s="26"/>
      <x:c r="G32" s="26"/>
      <x:c r="H32" s="26"/>
      <x:c r="I32" s="26"/>
      <x:c r="J32" s="26"/>
      <x:c r="K32" s="26">
        <x:f>E32+G32+I32</x:f>
        <x:v>0</x:v>
      </x:c>
      <x:c r="L32" s="26">
        <x:f>F32+H32+J32</x:f>
        <x:v>0</x:v>
      </x:c>
      <x:c r="M32" s="28"/>
    </x:row>
    <x:row r="33" spans="1:17" ht="23.100000000000001" customHeight="1">
      <x:c r="A33" s="23" t="s">
        <x:v>326</x:v>
      </x:c>
      <x:c r="B33" s="23" t="s">
        <x:v>17</x:v>
      </x:c>
      <x:c r="C33" s="24" t="s">
        <x:v>168</x:v>
      </x:c>
      <x:c r="D33" s="25">
        <x:v>0.0005</x:v>
      </x:c>
      <x:c r="E33" s="26"/>
      <x:c r="F33" s="26"/>
      <x:c r="G33" s="26"/>
      <x:c r="H33" s="26"/>
      <x:c r="I33" s="26">
        <x:f>자재단가대비표!N58</x:f>
        <x:v>13000</x:v>
      </x:c>
      <x:c r="J33" s="26">
        <x:f>ROUNDDOWN(D33*I33,1)</x:f>
        <x:v>6.5</x:v>
      </x:c>
      <x:c r="K33" s="26">
        <x:f>E33+G33+I33</x:f>
        <x:v>13000</x:v>
      </x:c>
      <x:c r="L33" s="26">
        <x:f>F33+H33+J33</x:f>
        <x:v>6.5</x:v>
      </x:c>
      <x:c r="M33" s="27" t="s">
        <x:v>324</x:v>
      </x:c>
      <x:c r="O33" s="20" t="s">
        <x:v>164</x:v>
      </x:c>
      <x:c r="P33" s="20" t="s">
        <x:v>342</x:v>
      </x:c>
      <x:c r="Q33" s="16">
        <x:v>1</x:v>
      </x:c>
    </x:row>
    <x:row r="34" spans="1:13" ht="23.100000000000001" customHeight="1">
      <x:c r="A34" s="23" t="s">
        <x:v>343</x:v>
      </x:c>
      <x:c r="B34" s="23" t="s">
        <x:v>220</x:v>
      </x:c>
      <x:c r="C34" s="24" t="s">
        <x:v>220</x:v>
      </x:c>
      <x:c r="D34" s="25"/>
      <x:c r="E34" s="26"/>
      <x:c r="F34" s="26"/>
      <x:c r="G34" s="26"/>
      <x:c r="H34" s="26"/>
      <x:c r="I34" s="26"/>
      <x:c r="J34" s="26">
        <x:f>SUMIF($Q$32:$Q$33,1,$J$32:$J$33)</x:f>
        <x:v>6.5</x:v>
      </x:c>
      <x:c r="K34" s="26"/>
      <x:c r="L34" s="26">
        <x:f>F34+H34+J34</x:f>
        <x:v>6.5</x:v>
      </x:c>
      <x:c r="M34" s="28"/>
    </x:row>
    <x:row r="35" spans="1:13" ht="23.100000000000001" customHeight="1">
      <x:c r="A35" s="24" t="s">
        <x:v>344</x:v>
      </x:c>
      <x:c r="B35" s="29"/>
      <x:c r="C35" s="30"/>
      <x:c r="D35" s="31"/>
      <x:c r="E35" s="31"/>
      <x:c r="F35" s="32">
        <x:f>ROUNDDOWN(SUMIF($Q$32:$Q$34,1,$F$32:$F$34),0)</x:f>
        <x:v>0</x:v>
      </x:c>
      <x:c r="G35" s="31"/>
      <x:c r="H35" s="32">
        <x:f>ROUNDDOWN(SUMIF($Q$32:$Q$34,1,$H$32:$H$34),0)</x:f>
        <x:v>0</x:v>
      </x:c>
      <x:c r="I35" s="31"/>
      <x:c r="J35" s="32">
        <x:f>ROUNDDOWN(SUMIF($Q$32:$Q$34,1,$J$32:$J$34),0)</x:f>
        <x:v>6</x:v>
      </x:c>
      <x:c r="K35" s="31"/>
      <x:c r="L35" s="32">
        <x:f>F35+H35+J35</x:f>
        <x:v>6</x:v>
      </x:c>
      <x:c r="M35" s="28"/>
    </x:row>
    <x:row r="36" spans="1:13" ht="23.100000000000001" customHeight="1">
      <x:c r="A36" s="23" t="s">
        <x:v>521</x:v>
      </x:c>
      <x:c r="B36" s="23" t="s">
        <x:v>327</x:v>
      </x:c>
      <x:c r="C36" s="24" t="s">
        <x:v>165</x:v>
      </x:c>
      <x:c r="D36" s="25"/>
      <x:c r="E36" s="26"/>
      <x:c r="F36" s="26"/>
      <x:c r="G36" s="26"/>
      <x:c r="H36" s="26"/>
      <x:c r="I36" s="26"/>
      <x:c r="J36" s="26"/>
      <x:c r="K36" s="26"/>
      <x:c r="L36" s="26"/>
      <x:c r="M36" s="27" t="s">
        <x:v>15</x:v>
      </x:c>
    </x:row>
    <x:row r="37" spans="1:13" ht="23.100000000000001" customHeight="1">
      <x:c r="A37" s="23" t="s">
        <x:v>341</x:v>
      </x:c>
      <x:c r="B37" s="23" t="s">
        <x:v>220</x:v>
      </x:c>
      <x:c r="C37" s="24" t="s">
        <x:v>220</x:v>
      </x:c>
      <x:c r="D37" s="25"/>
      <x:c r="E37" s="26"/>
      <x:c r="F37" s="26"/>
      <x:c r="G37" s="26"/>
      <x:c r="H37" s="26"/>
      <x:c r="I37" s="26"/>
      <x:c r="J37" s="26"/>
      <x:c r="K37" s="26">
        <x:f>E37+G37+I37</x:f>
        <x:v>0</x:v>
      </x:c>
      <x:c r="L37" s="26">
        <x:f>F37+H37+J37</x:f>
        <x:v>0</x:v>
      </x:c>
      <x:c r="M37" s="28"/>
    </x:row>
    <x:row r="38" spans="1:17" ht="23.100000000000001" customHeight="1">
      <x:c r="A38" s="23" t="s">
        <x:v>12</x:v>
      </x:c>
      <x:c r="B38" s="23" t="s">
        <x:v>327</x:v>
      </x:c>
      <x:c r="C38" s="24" t="s">
        <x:v>168</x:v>
      </x:c>
      <x:c r="D38" s="25">
        <x:v>0.00022939999999999999</x:v>
      </x:c>
      <x:c r="E38" s="26"/>
      <x:c r="F38" s="26"/>
      <x:c r="G38" s="26"/>
      <x:c r="H38" s="26"/>
      <x:c r="I38" s="26">
        <x:f>자재단가대비표!N60</x:f>
        <x:v>544000</x:v>
      </x:c>
      <x:c r="J38" s="26">
        <x:f>ROUNDDOWN(D38*I38,1)</x:f>
        <x:v>124.7</x:v>
      </x:c>
      <x:c r="K38" s="26">
        <x:f>E38+G38+I38</x:f>
        <x:v>544000</x:v>
      </x:c>
      <x:c r="L38" s="26">
        <x:f>F38+H38+J38</x:f>
        <x:v>124.7</x:v>
      </x:c>
      <x:c r="M38" s="27" t="s">
        <x:v>324</x:v>
      </x:c>
      <x:c r="O38" s="20" t="s">
        <x:v>164</x:v>
      </x:c>
      <x:c r="P38" s="20" t="s">
        <x:v>342</x:v>
      </x:c>
      <x:c r="Q38" s="16">
        <x:v>1</x:v>
      </x:c>
    </x:row>
    <x:row r="39" spans="1:13" ht="23.100000000000001" customHeight="1">
      <x:c r="A39" s="23" t="s">
        <x:v>343</x:v>
      </x:c>
      <x:c r="B39" s="23" t="s">
        <x:v>220</x:v>
      </x:c>
      <x:c r="C39" s="24" t="s">
        <x:v>220</x:v>
      </x:c>
      <x:c r="D39" s="25"/>
      <x:c r="E39" s="26"/>
      <x:c r="F39" s="26"/>
      <x:c r="G39" s="26"/>
      <x:c r="H39" s="26"/>
      <x:c r="I39" s="26"/>
      <x:c r="J39" s="26">
        <x:f>SUMIF($Q$37:$Q$38,1,$J$37:$J$38)</x:f>
        <x:v>124.7</x:v>
      </x:c>
      <x:c r="K39" s="26"/>
      <x:c r="L39" s="26">
        <x:f>F39+H39+J39</x:f>
        <x:v>124.7</x:v>
      </x:c>
      <x:c r="M39" s="28"/>
    </x:row>
    <x:row r="40" spans="1:13" ht="23.100000000000001" customHeight="1">
      <x:c r="A40" s="24" t="s">
        <x:v>344</x:v>
      </x:c>
      <x:c r="B40" s="29"/>
      <x:c r="C40" s="30"/>
      <x:c r="D40" s="31"/>
      <x:c r="E40" s="31"/>
      <x:c r="F40" s="32">
        <x:f>ROUNDDOWN(SUMIF($Q$37:$Q$39,1,$F$37:$F$39),0)</x:f>
        <x:v>0</x:v>
      </x:c>
      <x:c r="G40" s="31"/>
      <x:c r="H40" s="32">
        <x:f>ROUNDDOWN(SUMIF($Q$37:$Q$39,1,$H$37:$H$39),0)</x:f>
        <x:v>0</x:v>
      </x:c>
      <x:c r="I40" s="31"/>
      <x:c r="J40" s="32">
        <x:f>ROUNDDOWN(SUMIF($Q$37:$Q$39,1,$J$37:$J$39),0)</x:f>
        <x:v>124</x:v>
      </x:c>
      <x:c r="K40" s="31"/>
      <x:c r="L40" s="32">
        <x:f>F40+H40+J40</x:f>
        <x:v>124</x:v>
      </x:c>
      <x:c r="M40" s="28"/>
    </x:row>
    <x:row r="41" spans="1:13" ht="23.100000000000001" customHeight="1">
      <x:c r="A41" s="29"/>
      <x:c r="B41" s="29"/>
      <x:c r="C41" s="30"/>
      <x:c r="D41" s="31"/>
      <x:c r="E41" s="31"/>
      <x:c r="F41" s="31"/>
      <x:c r="G41" s="31"/>
      <x:c r="H41" s="31"/>
      <x:c r="I41" s="31"/>
      <x:c r="J41" s="31"/>
      <x:c r="K41" s="31"/>
      <x:c r="L41" s="31"/>
      <x:c r="M41" s="28"/>
    </x:row>
    <x:row r="42" spans="1:13" ht="23.100000000000001" customHeight="1">
      <x:c r="A42" s="29"/>
      <x:c r="B42" s="29"/>
      <x:c r="C42" s="30"/>
      <x:c r="D42" s="31"/>
      <x:c r="E42" s="31"/>
      <x:c r="F42" s="31"/>
      <x:c r="G42" s="31"/>
      <x:c r="H42" s="31"/>
      <x:c r="I42" s="31"/>
      <x:c r="J42" s="31"/>
      <x:c r="K42" s="31"/>
      <x:c r="L42" s="31"/>
      <x:c r="M42" s="28"/>
    </x:row>
    <x:row r="43" spans="1:13" ht="23.100000000000001" customHeight="1">
      <x:c r="A43" s="29"/>
      <x:c r="B43" s="29"/>
      <x:c r="C43" s="30"/>
      <x:c r="D43" s="31"/>
      <x:c r="E43" s="31"/>
      <x:c r="F43" s="31"/>
      <x:c r="G43" s="31"/>
      <x:c r="H43" s="31"/>
      <x:c r="I43" s="31"/>
      <x:c r="J43" s="31"/>
      <x:c r="K43" s="31"/>
      <x:c r="L43" s="31"/>
      <x:c r="M43" s="28"/>
    </x:row>
    <x:row r="44" spans="1:13" ht="23.100000000000001" customHeight="1">
      <x:c r="A44" s="29"/>
      <x:c r="B44" s="29"/>
      <x:c r="C44" s="30"/>
      <x:c r="D44" s="31"/>
      <x:c r="E44" s="31"/>
      <x:c r="F44" s="31"/>
      <x:c r="G44" s="31"/>
      <x:c r="H44" s="31"/>
      <x:c r="I44" s="31"/>
      <x:c r="J44" s="31"/>
      <x:c r="K44" s="31"/>
      <x:c r="L44" s="31"/>
      <x:c r="M44" s="28"/>
    </x:row>
    <x:row r="45" spans="1:13" ht="23.100000000000001" customHeight="1">
      <x:c r="A45" s="29"/>
      <x:c r="B45" s="29"/>
      <x:c r="C45" s="30"/>
      <x:c r="D45" s="31"/>
      <x:c r="E45" s="31"/>
      <x:c r="F45" s="31"/>
      <x:c r="G45" s="31"/>
      <x:c r="H45" s="31"/>
      <x:c r="I45" s="31"/>
      <x:c r="J45" s="31"/>
      <x:c r="K45" s="31"/>
      <x:c r="L45" s="31"/>
      <x:c r="M45" s="28"/>
    </x:row>
    <x:row r="46" spans="1:13" ht="23.100000000000001" customHeight="1">
      <x:c r="A46" s="29"/>
      <x:c r="B46" s="29"/>
      <x:c r="C46" s="30"/>
      <x:c r="D46" s="31"/>
      <x:c r="E46" s="31"/>
      <x:c r="F46" s="31"/>
      <x:c r="G46" s="31"/>
      <x:c r="H46" s="31"/>
      <x:c r="I46" s="31"/>
      <x:c r="J46" s="31"/>
      <x:c r="K46" s="31"/>
      <x:c r="L46" s="31"/>
      <x:c r="M46" s="28"/>
    </x:row>
    <x:row r="47" spans="1:13" ht="23.100000000000001" customHeight="1">
      <x:c r="A47" s="29"/>
      <x:c r="B47" s="29"/>
      <x:c r="C47" s="30"/>
      <x:c r="D47" s="31"/>
      <x:c r="E47" s="31"/>
      <x:c r="F47" s="31"/>
      <x:c r="G47" s="31"/>
      <x:c r="H47" s="31"/>
      <x:c r="I47" s="31"/>
      <x:c r="J47" s="31"/>
      <x:c r="K47" s="31"/>
      <x:c r="L47" s="31"/>
      <x:c r="M47" s="28"/>
    </x:row>
    <x:row r="48" spans="1:13" ht="23.100000000000001" customHeight="1">
      <x:c r="A48" s="29"/>
      <x:c r="B48" s="29"/>
      <x:c r="C48" s="30"/>
      <x:c r="D48" s="31"/>
      <x:c r="E48" s="31"/>
      <x:c r="F48" s="31"/>
      <x:c r="G48" s="31"/>
      <x:c r="H48" s="31"/>
      <x:c r="I48" s="31"/>
      <x:c r="J48" s="31"/>
      <x:c r="K48" s="31"/>
      <x:c r="L48" s="31"/>
      <x:c r="M48" s="28"/>
    </x:row>
    <x:row r="49" spans="1:13" ht="23.100000000000001" customHeight="1">
      <x:c r="A49" s="29"/>
      <x:c r="B49" s="29"/>
      <x:c r="C49" s="30"/>
      <x:c r="D49" s="31"/>
      <x:c r="E49" s="31"/>
      <x:c r="F49" s="31"/>
      <x:c r="G49" s="31"/>
      <x:c r="H49" s="31"/>
      <x:c r="I49" s="31"/>
      <x:c r="J49" s="31"/>
      <x:c r="K49" s="31"/>
      <x:c r="L49" s="31"/>
      <x:c r="M49" s="28"/>
    </x:row>
    <x:row r="50" spans="1:13" ht="23.100000000000001" customHeight="1">
      <x:c r="A50" s="29"/>
      <x:c r="B50" s="29"/>
      <x:c r="C50" s="30"/>
      <x:c r="D50" s="31"/>
      <x:c r="E50" s="31"/>
      <x:c r="F50" s="31"/>
      <x:c r="G50" s="31"/>
      <x:c r="H50" s="31"/>
      <x:c r="I50" s="31"/>
      <x:c r="J50" s="31"/>
      <x:c r="K50" s="31"/>
      <x:c r="L50" s="31"/>
      <x:c r="M50" s="28"/>
    </x:row>
    <x:row r="51" spans="1:13" ht="23.100000000000001" customHeight="1">
      <x:c r="A51" s="29"/>
      <x:c r="B51" s="29"/>
      <x:c r="C51" s="30"/>
      <x:c r="D51" s="31"/>
      <x:c r="E51" s="31"/>
      <x:c r="F51" s="31"/>
      <x:c r="G51" s="31"/>
      <x:c r="H51" s="31"/>
      <x:c r="I51" s="31"/>
      <x:c r="J51" s="31"/>
      <x:c r="K51" s="31"/>
      <x:c r="L51" s="31"/>
      <x:c r="M51" s="28"/>
    </x:row>
    <x:row r="52" spans="1:13" ht="23.100000000000001" customHeight="1">
      <x:c r="A52" s="29"/>
      <x:c r="B52" s="29"/>
      <x:c r="C52" s="30"/>
      <x:c r="D52" s="31"/>
      <x:c r="E52" s="31"/>
      <x:c r="F52" s="31"/>
      <x:c r="G52" s="31"/>
      <x:c r="H52" s="31"/>
      <x:c r="I52" s="31"/>
      <x:c r="J52" s="31"/>
      <x:c r="K52" s="31"/>
      <x:c r="L52" s="31"/>
      <x:c r="M52" s="28"/>
    </x:row>
  </x:sheetData>
  <x:mergeCells count="11">
    <x:mergeCell ref="K3:L3"/>
    <x:mergeCell ref="A1:M1"/>
    <x:mergeCell ref="A2:M2"/>
    <x:mergeCell ref="A3:A4"/>
    <x:mergeCell ref="B3:B4"/>
    <x:mergeCell ref="C3:C4"/>
    <x:mergeCell ref="D3:D4"/>
    <x:mergeCell ref="M3:M4"/>
    <x:mergeCell ref="E3:F3"/>
    <x:mergeCell ref="G3:H3"/>
    <x:mergeCell ref="I3:J3"/>
  </x:mergeCells>
  <x:pageMargins left="0.74541664123535156" right="0" top="0.69444441795349121" bottom="0.1388888955116272" header="0.30000001192092896" footer="0.1388888955116272"/>
  <x:pageSetup paperSize="9" scale="100" firstPageNumber="1" fitToWidth="1" fitToHeight="1" orientation="landscape" usePrinterDefaults="1" blackAndWhite="0" draft="0" useFirstPageNumber="0" horizontalDpi="600" verticalDpi="600" copies="1"/>
  <x:rowBreaks count="3" manualBreakCount="3">
    <x:brk id="20" min="0" max="1048575" man="1" pt="0"/>
    <x:brk id="36" min="0" max="1048575" man="1" pt="0"/>
    <x:brk id="52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>
    <x:tabColor rgb="ffe6b8b7"/>
  </x:sheetPr>
  <x:dimension ref="A1:O68"/>
  <x:sheetViews>
    <x:sheetView topLeftCell="A1" zoomScaleNormal="100" workbookViewId="0">
      <x:selection activeCell="C13" activeCellId="0" sqref="C13:J13"/>
    </x:sheetView>
  </x:sheetViews>
  <x:sheetFormatPr defaultColWidth="9.00390625" defaultRowHeight="10"/>
  <x:cols>
    <x:col min="1" max="2" width="19.625" style="1" customWidth="1"/>
    <x:col min="3" max="3" width="3.625" style="2" customWidth="1"/>
    <x:col min="4" max="4" width="6.625" style="3" customWidth="1"/>
    <x:col min="5" max="5" width="5.625" style="3" customWidth="1"/>
    <x:col min="6" max="6" width="6.625" style="3" customWidth="1"/>
    <x:col min="7" max="7" width="4.625" style="3" customWidth="1"/>
    <x:col min="8" max="9" width="6.625" style="3" customWidth="1"/>
    <x:col min="10" max="10" width="4.625" style="3" customWidth="1"/>
    <x:col min="11" max="11" width="6.625" style="3" customWidth="1"/>
    <x:col min="12" max="12" width="4.625" style="3" customWidth="1"/>
    <x:col min="13" max="13" width="6.625" style="3" customWidth="1"/>
    <x:col min="14" max="14" width="7.625" style="3" customWidth="1"/>
    <x:col min="15" max="15" width="6.625" style="4" customWidth="1"/>
    <x:col min="16" max="16384" width="9" style="1"/>
  </x:cols>
  <x:sheetData>
    <x:row r="1" spans="1:15" ht="30" customHeight="1">
      <x:c r="A1" s="98" t="s">
        <x:v>41</x:v>
      </x:c>
      <x:c r="B1" s="98"/>
      <x:c r="C1" s="98"/>
      <x:c r="D1" s="98"/>
      <x:c r="E1" s="98"/>
      <x:c r="F1" s="98"/>
      <x:c r="G1" s="98"/>
      <x:c r="H1" s="98"/>
      <x:c r="I1" s="98"/>
      <x:c r="J1" s="98"/>
      <x:c r="K1" s="98"/>
      <x:c r="L1" s="98"/>
      <x:c r="M1" s="98"/>
      <x:c r="N1" s="98"/>
      <x:c r="O1" s="98"/>
    </x:row>
    <x:row r="2" spans="1:15" ht="23.100000000000001" customHeight="1">
      <x:c r="A2" s="116" t="s">
        <x:v>240</x:v>
      </x:c>
      <x:c r="B2" s="116"/>
      <x:c r="C2" s="116"/>
      <x:c r="D2" s="116"/>
      <x:c r="E2" s="116"/>
      <x:c r="F2" s="116"/>
      <x:c r="G2" s="116"/>
      <x:c r="H2" s="116"/>
      <x:c r="I2" s="116"/>
      <x:c r="J2" s="116"/>
      <x:c r="K2" s="116"/>
      <x:c r="L2" s="116"/>
      <x:c r="M2" s="116"/>
      <x:c r="N2" s="116"/>
      <x:c r="O2" s="116"/>
    </x:row>
    <x:row r="3" spans="1:15" ht="23.100000000000001" customHeight="1">
      <x:c r="A3" s="115" t="s">
        <x:v>458</x:v>
      </x:c>
      <x:c r="B3" s="115" t="s">
        <x:v>263</x:v>
      </x:c>
      <x:c r="C3" s="115" t="s">
        <x:v>225</x:v>
      </x:c>
      <x:c r="D3" s="115" t="s">
        <x:v>459</x:v>
      </x:c>
      <x:c r="E3" s="115"/>
      <x:c r="F3" s="115" t="s">
        <x:v>264</x:v>
      </x:c>
      <x:c r="G3" s="115"/>
      <x:c r="H3" s="5" t="s">
        <x:v>262</x:v>
      </x:c>
      <x:c r="I3" s="115" t="s">
        <x:v>261</x:v>
      </x:c>
      <x:c r="J3" s="115"/>
      <x:c r="K3" s="115" t="s">
        <x:v>265</x:v>
      </x:c>
      <x:c r="L3" s="115"/>
      <x:c r="M3" s="5" t="s">
        <x:v>266</x:v>
      </x:c>
      <x:c r="N3" s="115" t="s">
        <x:v>267</x:v>
      </x:c>
      <x:c r="O3" s="115" t="s">
        <x:v>224</x:v>
      </x:c>
    </x:row>
    <x:row r="4" spans="1:15" ht="23.100000000000001" customHeight="1">
      <x:c r="A4" s="115"/>
      <x:c r="B4" s="115"/>
      <x:c r="C4" s="115"/>
      <x:c r="D4" s="5" t="s">
        <x:v>268</x:v>
      </x:c>
      <x:c r="E4" s="5" t="s">
        <x:v>269</x:v>
      </x:c>
      <x:c r="F4" s="5" t="s">
        <x:v>268</x:v>
      </x:c>
      <x:c r="G4" s="5" t="s">
        <x:v>269</x:v>
      </x:c>
      <x:c r="H4" s="5" t="s">
        <x:v>268</x:v>
      </x:c>
      <x:c r="I4" s="5" t="s">
        <x:v>268</x:v>
      </x:c>
      <x:c r="J4" s="5" t="s">
        <x:v>269</x:v>
      </x:c>
      <x:c r="K4" s="5" t="s">
        <x:v>268</x:v>
      </x:c>
      <x:c r="L4" s="5" t="s">
        <x:v>269</x:v>
      </x:c>
      <x:c r="M4" s="5" t="s">
        <x:v>268</x:v>
      </x:c>
      <x:c r="N4" s="115"/>
      <x:c r="O4" s="115"/>
    </x:row>
    <x:row r="5" spans="1:15" ht="23.100000000000001" customHeight="1">
      <x:c r="A5" s="6" t="s">
        <x:v>223</x:v>
      </x:c>
      <x:c r="B5" s="6" t="s">
        <x:v>40</x:v>
      </x:c>
      <x:c r="C5" s="7" t="s">
        <x:v>222</x:v>
      </x:c>
      <x:c r="D5" s="8"/>
      <x:c r="E5" s="9"/>
      <x:c r="F5" s="8">
        <x:v>17800</x:v>
      </x:c>
      <x:c r="G5" s="10" t="s">
        <x:v>219</x:v>
      </x:c>
      <x:c r="H5" s="8"/>
      <x:c r="I5" s="8">
        <x:v>17800</x:v>
      </x:c>
      <x:c r="J5" s="10" t="s">
        <x:v>221</x:v>
      </x:c>
      <x:c r="K5" s="8"/>
      <x:c r="L5" s="9"/>
      <x:c r="M5" s="8"/>
      <x:c r="N5" s="8">
        <x:f>MIN(D5,F5,H5,I5,K5,M5)</x:f>
        <x:v>17800</x:v>
      </x:c>
      <x:c r="O5" s="11" t="s">
        <x:v>220</x:v>
      </x:c>
    </x:row>
    <x:row r="6" spans="1:15" ht="23.100000000000001" customHeight="1">
      <x:c r="A6" s="6" t="s">
        <x:v>270</x:v>
      </x:c>
      <x:c r="B6" s="6" t="s">
        <x:v>536</x:v>
      </x:c>
      <x:c r="C6" s="7" t="s">
        <x:v>218</x:v>
      </x:c>
      <x:c r="D6" s="8"/>
      <x:c r="E6" s="9"/>
      <x:c r="F6" s="8">
        <x:v>3233</x:v>
      </x:c>
      <x:c r="G6" s="10" t="s">
        <x:v>219</x:v>
      </x:c>
      <x:c r="H6" s="8">
        <x:v>2700</x:v>
      </x:c>
      <x:c r="I6" s="8">
        <x:v>3233</x:v>
      </x:c>
      <x:c r="J6" s="10" t="s">
        <x:v>221</x:v>
      </x:c>
      <x:c r="K6" s="8"/>
      <x:c r="L6" s="9"/>
      <x:c r="M6" s="8"/>
      <x:c r="N6" s="8">
        <x:f>MIN(D6,F6,H6,I6,K6,M6)</x:f>
        <x:v>2700</x:v>
      </x:c>
      <x:c r="O6" s="11" t="s">
        <x:v>220</x:v>
      </x:c>
    </x:row>
    <x:row r="7" spans="1:15" ht="23.100000000000001" customHeight="1">
      <x:c r="A7" s="6" t="s">
        <x:v>241</x:v>
      </x:c>
      <x:c r="B7" s="6" t="s">
        <x:v>271</x:v>
      </x:c>
      <x:c r="C7" s="7" t="s">
        <x:v>216</x:v>
      </x:c>
      <x:c r="D7" s="8"/>
      <x:c r="E7" s="9"/>
      <x:c r="F7" s="8"/>
      <x:c r="G7" s="9"/>
      <x:c r="H7" s="8"/>
      <x:c r="I7" s="8"/>
      <x:c r="J7" s="9"/>
      <x:c r="K7" s="8"/>
      <x:c r="L7" s="9"/>
      <x:c r="M7" s="8">
        <x:v>1700</x:v>
      </x:c>
      <x:c r="N7" s="8">
        <x:f>MIN(D7,F7,H7,I7,K7,M7)</x:f>
        <x:v>1700</x:v>
      </x:c>
      <x:c r="O7" s="11" t="s">
        <x:v>220</x:v>
      </x:c>
    </x:row>
    <x:row r="8" spans="1:15" ht="23.100000000000001" customHeight="1">
      <x:c r="A8" s="6" t="s">
        <x:v>217</x:v>
      </x:c>
      <x:c r="B8" s="6" t="s">
        <x:v>39</x:v>
      </x:c>
      <x:c r="C8" s="7" t="s">
        <x:v>215</x:v>
      </x:c>
      <x:c r="D8" s="8"/>
      <x:c r="E8" s="9"/>
      <x:c r="F8" s="8"/>
      <x:c r="G8" s="9"/>
      <x:c r="H8" s="8">
        <x:v>-240000</x:v>
      </x:c>
      <x:c r="I8" s="8"/>
      <x:c r="J8" s="9"/>
      <x:c r="K8" s="8"/>
      <x:c r="L8" s="9"/>
      <x:c r="M8" s="8"/>
      <x:c r="N8" s="8">
        <x:f>MIN(D8,F8,H8,I8,K8,M8)</x:f>
        <x:v>-240000</x:v>
      </x:c>
      <x:c r="O8" s="11" t="s">
        <x:v>220</x:v>
      </x:c>
    </x:row>
    <x:row r="9" spans="1:15" ht="23.100000000000001" customHeight="1">
      <x:c r="A9" s="6" t="s">
        <x:v>273</x:v>
      </x:c>
      <x:c r="B9" s="6" t="s">
        <x:v>38</x:v>
      </x:c>
      <x:c r="C9" s="7" t="s">
        <x:v>216</x:v>
      </x:c>
      <x:c r="D9" s="8">
        <x:v>18500</x:v>
      </x:c>
      <x:c r="E9" s="10" t="s">
        <x:v>214</x:v>
      </x:c>
      <x:c r="F9" s="8">
        <x:v>24900</x:v>
      </x:c>
      <x:c r="G9" s="10" t="s">
        <x:v>213</x:v>
      </x:c>
      <x:c r="H9" s="8"/>
      <x:c r="I9" s="8"/>
      <x:c r="J9" s="9"/>
      <x:c r="K9" s="8"/>
      <x:c r="L9" s="9"/>
      <x:c r="M9" s="8"/>
      <x:c r="N9" s="8">
        <x:f>MIN(D9,F9,H9,I9,K9,M9)</x:f>
        <x:v>18500</x:v>
      </x:c>
      <x:c r="O9" s="11" t="s">
        <x:v>274</x:v>
      </x:c>
    </x:row>
    <x:row r="10" spans="1:15" ht="23.100000000000001" customHeight="1">
      <x:c r="A10" s="6" t="s">
        <x:v>275</x:v>
      </x:c>
      <x:c r="B10" s="6" t="s">
        <x:v>37</x:v>
      </x:c>
      <x:c r="C10" s="7" t="s">
        <x:v>216</x:v>
      </x:c>
      <x:c r="D10" s="8"/>
      <x:c r="E10" s="9"/>
      <x:c r="F10" s="8"/>
      <x:c r="G10" s="9"/>
      <x:c r="H10" s="8"/>
      <x:c r="I10" s="8"/>
      <x:c r="J10" s="9"/>
      <x:c r="K10" s="8"/>
      <x:c r="L10" s="9"/>
      <x:c r="M10" s="8">
        <x:v>3550</x:v>
      </x:c>
      <x:c r="N10" s="8">
        <x:f>MIN(D10,F10,H10,I10,K10,M10)</x:f>
        <x:v>3550</x:v>
      </x:c>
      <x:c r="O10" s="11" t="s">
        <x:v>220</x:v>
      </x:c>
    </x:row>
    <x:row r="11" spans="1:15" ht="23.100000000000001" customHeight="1">
      <x:c r="A11" s="6" t="s">
        <x:v>212</x:v>
      </x:c>
      <x:c r="B11" s="6" t="s">
        <x:v>220</x:v>
      </x:c>
      <x:c r="C11" s="7" t="s">
        <x:v>211</x:v>
      </x:c>
      <x:c r="D11" s="8">
        <x:v>2272</x:v>
      </x:c>
      <x:c r="E11" s="10" t="s">
        <x:v>276</x:v>
      </x:c>
      <x:c r="F11" s="8">
        <x:v>2000</x:v>
      </x:c>
      <x:c r="G11" s="10" t="s">
        <x:v>277</x:v>
      </x:c>
      <x:c r="H11" s="8">
        <x:v>1640</x:v>
      </x:c>
      <x:c r="I11" s="8"/>
      <x:c r="J11" s="9"/>
      <x:c r="K11" s="8">
        <x:v>1786</x:v>
      </x:c>
      <x:c r="L11" s="10" t="s">
        <x:v>278</x:v>
      </x:c>
      <x:c r="M11" s="8"/>
      <x:c r="N11" s="8">
        <x:f>MIN(D11,F11,H11,I11,K11,M11)</x:f>
        <x:v>1640</x:v>
      </x:c>
      <x:c r="O11" s="11" t="s">
        <x:v>220</x:v>
      </x:c>
    </x:row>
    <x:row r="12" spans="1:15" ht="23.100000000000001" customHeight="1">
      <x:c r="A12" s="6" t="s">
        <x:v>272</x:v>
      </x:c>
      <x:c r="B12" s="6" t="s">
        <x:v>532</x:v>
      </x:c>
      <x:c r="C12" s="7" t="s">
        <x:v>100</x:v>
      </x:c>
      <x:c r="D12" s="8">
        <x:v>13000</x:v>
      </x:c>
      <x:c r="E12" s="10" t="s">
        <x:v>210</x:v>
      </x:c>
      <x:c r="F12" s="8"/>
      <x:c r="G12" s="9"/>
      <x:c r="H12" s="8">
        <x:v>11400</x:v>
      </x:c>
      <x:c r="I12" s="8">
        <x:v>12700</x:v>
      </x:c>
      <x:c r="J12" s="10" t="s">
        <x:v>209</x:v>
      </x:c>
      <x:c r="K12" s="8"/>
      <x:c r="L12" s="9"/>
      <x:c r="M12" s="8"/>
      <x:c r="N12" s="8">
        <x:f>MIN(D12,F12,H12,I12,K12,M12)</x:f>
        <x:v>11400</x:v>
      </x:c>
      <x:c r="O12" s="11" t="s">
        <x:v>220</x:v>
      </x:c>
    </x:row>
    <x:row r="13" spans="1:15" ht="23.100000000000001" customHeight="1">
      <x:c r="A13" s="6" t="s">
        <x:v>36</x:v>
      </x:c>
      <x:c r="B13" s="6" t="s">
        <x:v>533</x:v>
      </x:c>
      <x:c r="C13" s="7" t="s">
        <x:v>208</x:v>
      </x:c>
      <x:c r="D13" s="8">
        <x:v>3644</x:v>
      </x:c>
      <x:c r="E13" s="10" t="s">
        <x:v>207</x:v>
      </x:c>
      <x:c r="F13" s="8"/>
      <x:c r="G13" s="9"/>
      <x:c r="H13" s="8"/>
      <x:c r="I13" s="8"/>
      <x:c r="J13" s="9"/>
      <x:c r="K13" s="8"/>
      <x:c r="L13" s="9"/>
      <x:c r="M13" s="8"/>
      <x:c r="N13" s="8">
        <x:f>MIN(D13,F13,H13,I13,K13,M13)</x:f>
        <x:v>3644</x:v>
      </x:c>
      <x:c r="O13" s="11" t="s">
        <x:v>220</x:v>
      </x:c>
    </x:row>
    <x:row r="14" spans="1:15" ht="23.100000000000001" customHeight="1">
      <x:c r="A14" s="6" t="s">
        <x:v>206</x:v>
      </x:c>
      <x:c r="B14" s="6" t="s">
        <x:v>35</x:v>
      </x:c>
      <x:c r="C14" s="7" t="s">
        <x:v>205</x:v>
      </x:c>
      <x:c r="D14" s="8">
        <x:v>23000</x:v>
      </x:c>
      <x:c r="E14" s="10" t="s">
        <x:v>204</x:v>
      </x:c>
      <x:c r="F14" s="8">
        <x:v>24000</x:v>
      </x:c>
      <x:c r="G14" s="10" t="s">
        <x:v>203</x:v>
      </x:c>
      <x:c r="H14" s="8"/>
      <x:c r="I14" s="8"/>
      <x:c r="J14" s="9"/>
      <x:c r="K14" s="8">
        <x:v>23000</x:v>
      </x:c>
      <x:c r="L14" s="10" t="s">
        <x:v>202</x:v>
      </x:c>
      <x:c r="M14" s="8"/>
      <x:c r="N14" s="8">
        <x:f>MIN(D14,F14,H14,I14,K14,M14)</x:f>
        <x:v>23000</x:v>
      </x:c>
      <x:c r="O14" s="11" t="s">
        <x:v>220</x:v>
      </x:c>
    </x:row>
    <x:row r="15" spans="1:15" ht="23.100000000000001" customHeight="1">
      <x:c r="A15" s="6" t="s">
        <x:v>201</x:v>
      </x:c>
      <x:c r="B15" s="6" t="s">
        <x:v>220</x:v>
      </x:c>
      <x:c r="C15" s="7" t="s">
        <x:v>216</x:v>
      </x:c>
      <x:c r="D15" s="8">
        <x:v>34020</x:v>
      </x:c>
      <x:c r="E15" s="10" t="s">
        <x:v>280</x:v>
      </x:c>
      <x:c r="F15" s="8">
        <x:v>31000</x:v>
      </x:c>
      <x:c r="G15" s="10" t="s">
        <x:v>279</x:v>
      </x:c>
      <x:c r="H15" s="8"/>
      <x:c r="I15" s="8"/>
      <x:c r="J15" s="9"/>
      <x:c r="K15" s="8"/>
      <x:c r="L15" s="9"/>
      <x:c r="M15" s="8"/>
      <x:c r="N15" s="8">
        <x:f>MIN(D15,F15,H15,I15,K15,M15)</x:f>
        <x:v>31000</x:v>
      </x:c>
      <x:c r="O15" s="11" t="s">
        <x:v>220</x:v>
      </x:c>
    </x:row>
    <x:row r="16" spans="1:15" ht="23.100000000000001" customHeight="1">
      <x:c r="A16" s="6" t="s">
        <x:v>281</x:v>
      </x:c>
      <x:c r="B16" s="6" t="s">
        <x:v>285</x:v>
      </x:c>
      <x:c r="C16" s="7" t="s">
        <x:v>216</x:v>
      </x:c>
      <x:c r="D16" s="8">
        <x:v>2900</x:v>
      </x:c>
      <x:c r="E16" s="10" t="s">
        <x:v>200</x:v>
      </x:c>
      <x:c r="F16" s="8">
        <x:v>3300</x:v>
      </x:c>
      <x:c r="G16" s="10" t="s">
        <x:v>219</x:v>
      </x:c>
      <x:c r="H16" s="8"/>
      <x:c r="I16" s="8">
        <x:v>3300</x:v>
      </x:c>
      <x:c r="J16" s="10" t="s">
        <x:v>221</x:v>
      </x:c>
      <x:c r="K16" s="8"/>
      <x:c r="L16" s="9"/>
      <x:c r="M16" s="8"/>
      <x:c r="N16" s="8">
        <x:f>MIN(D16,F16,H16,I16,K16,M16)</x:f>
        <x:v>2900</x:v>
      </x:c>
      <x:c r="O16" s="11" t="s">
        <x:v>220</x:v>
      </x:c>
    </x:row>
    <x:row r="17" spans="1:15" ht="23.100000000000001" customHeight="1">
      <x:c r="A17" s="6" t="s">
        <x:v>34</x:v>
      </x:c>
      <x:c r="B17" s="6" t="s">
        <x:v>471</x:v>
      </x:c>
      <x:c r="C17" s="7" t="s">
        <x:v>216</x:v>
      </x:c>
      <x:c r="D17" s="8">
        <x:v>24500</x:v>
      </x:c>
      <x:c r="E17" s="10" t="s">
        <x:v>214</x:v>
      </x:c>
      <x:c r="F17" s="8">
        <x:v>28300</x:v>
      </x:c>
      <x:c r="G17" s="10" t="s">
        <x:v>219</x:v>
      </x:c>
      <x:c r="H17" s="8">
        <x:v>20830</x:v>
      </x:c>
      <x:c r="I17" s="8">
        <x:v>28300</x:v>
      </x:c>
      <x:c r="J17" s="10" t="s">
        <x:v>221</x:v>
      </x:c>
      <x:c r="K17" s="8"/>
      <x:c r="L17" s="9"/>
      <x:c r="M17" s="8"/>
      <x:c r="N17" s="8">
        <x:f>MIN(D17,F17,H17,I17,K17,M17)</x:f>
        <x:v>20830</x:v>
      </x:c>
      <x:c r="O17" s="11" t="s">
        <x:v>220</x:v>
      </x:c>
    </x:row>
    <x:row r="18" spans="1:15" ht="23.100000000000001" customHeight="1">
      <x:c r="A18" s="6" t="s">
        <x:v>33</x:v>
      </x:c>
      <x:c r="B18" s="6" t="s">
        <x:v>282</x:v>
      </x:c>
      <x:c r="C18" s="7" t="s">
        <x:v>216</x:v>
      </x:c>
      <x:c r="D18" s="8">
        <x:v>8000</x:v>
      </x:c>
      <x:c r="E18" s="10" t="s">
        <x:v>214</x:v>
      </x:c>
      <x:c r="F18" s="8">
        <x:v>8900</x:v>
      </x:c>
      <x:c r="G18" s="10" t="s">
        <x:v>219</x:v>
      </x:c>
      <x:c r="H18" s="8"/>
      <x:c r="I18" s="8">
        <x:v>8900</x:v>
      </x:c>
      <x:c r="J18" s="10" t="s">
        <x:v>221</x:v>
      </x:c>
      <x:c r="K18" s="8"/>
      <x:c r="L18" s="9"/>
      <x:c r="M18" s="8">
        <x:v>1200</x:v>
      </x:c>
      <x:c r="N18" s="8">
        <x:f>MIN(D18,F18,H18,I18,K18,M18)</x:f>
        <x:v>1200</x:v>
      </x:c>
      <x:c r="O18" s="11" t="s">
        <x:v>220</x:v>
      </x:c>
    </x:row>
    <x:row r="19" spans="1:15" ht="23.100000000000001" customHeight="1">
      <x:c r="A19" s="6" t="s">
        <x:v>33</x:v>
      </x:c>
      <x:c r="B19" s="6" t="s">
        <x:v>283</x:v>
      </x:c>
      <x:c r="C19" s="7" t="s">
        <x:v>216</x:v>
      </x:c>
      <x:c r="D19" s="8">
        <x:v>24000</x:v>
      </x:c>
      <x:c r="E19" s="10" t="s">
        <x:v>214</x:v>
      </x:c>
      <x:c r="F19" s="8">
        <x:v>25200</x:v>
      </x:c>
      <x:c r="G19" s="10" t="s">
        <x:v>219</x:v>
      </x:c>
      <x:c r="H19" s="8"/>
      <x:c r="I19" s="8">
        <x:v>25200</x:v>
      </x:c>
      <x:c r="J19" s="10" t="s">
        <x:v>221</x:v>
      </x:c>
      <x:c r="K19" s="8"/>
      <x:c r="L19" s="9"/>
      <x:c r="M19" s="8">
        <x:v>850</x:v>
      </x:c>
      <x:c r="N19" s="8">
        <x:f>MIN(D19,F19,H19,I19,K19,M19)</x:f>
        <x:v>850</x:v>
      </x:c>
      <x:c r="O19" s="11" t="s">
        <x:v>220</x:v>
      </x:c>
    </x:row>
    <x:row r="20" spans="1:15" ht="23.100000000000001" customHeight="1">
      <x:c r="A20" s="6" t="s">
        <x:v>199</x:v>
      </x:c>
      <x:c r="B20" s="6" t="s">
        <x:v>284</x:v>
      </x:c>
      <x:c r="C20" s="7" t="s">
        <x:v>208</x:v>
      </x:c>
      <x:c r="D20" s="8">
        <x:v>2</x:v>
      </x:c>
      <x:c r="E20" s="10" t="s">
        <x:v>286</x:v>
      </x:c>
      <x:c r="F20" s="8">
        <x:v>2</x:v>
      </x:c>
      <x:c r="G20" s="10" t="s">
        <x:v>287</x:v>
      </x:c>
      <x:c r="H20" s="8">
        <x:v>2</x:v>
      </x:c>
      <x:c r="I20" s="8"/>
      <x:c r="J20" s="9"/>
      <x:c r="K20" s="8">
        <x:v>2</x:v>
      </x:c>
      <x:c r="L20" s="10" t="s">
        <x:v>290</x:v>
      </x:c>
      <x:c r="M20" s="8"/>
      <x:c r="N20" s="8">
        <x:f>MIN(D20,F20,H20,I20,K20,M20)</x:f>
        <x:v>2</x:v>
      </x:c>
      <x:c r="O20" s="11" t="s">
        <x:v>220</x:v>
      </x:c>
    </x:row>
    <x:row r="21" spans="1:15" ht="23.100000000000001" customHeight="1">
      <x:c r="A21" s="6" t="s">
        <x:v>296</x:v>
      </x:c>
      <x:c r="B21" s="6" t="s">
        <x:v>220</x:v>
      </x:c>
      <x:c r="C21" s="7" t="s">
        <x:v>216</x:v>
      </x:c>
      <x:c r="D21" s="8">
        <x:v>24500</x:v>
      </x:c>
      <x:c r="E21" s="10" t="s">
        <x:v>214</x:v>
      </x:c>
      <x:c r="F21" s="8">
        <x:v>28300</x:v>
      </x:c>
      <x:c r="G21" s="10" t="s">
        <x:v>219</x:v>
      </x:c>
      <x:c r="H21" s="8"/>
      <x:c r="I21" s="8">
        <x:v>28300</x:v>
      </x:c>
      <x:c r="J21" s="10" t="s">
        <x:v>221</x:v>
      </x:c>
      <x:c r="K21" s="8"/>
      <x:c r="L21" s="9"/>
      <x:c r="M21" s="8">
        <x:v>2200</x:v>
      </x:c>
      <x:c r="N21" s="8">
        <x:f>MIN(D21,F21,H21,I21,K21,M21)</x:f>
        <x:v>2200</x:v>
      </x:c>
      <x:c r="O21" s="11" t="s">
        <x:v>288</x:v>
      </x:c>
    </x:row>
    <x:row r="22" spans="1:15" ht="23.100000000000001" customHeight="1">
      <x:c r="A22" s="6" t="s">
        <x:v>289</x:v>
      </x:c>
      <x:c r="B22" s="6" t="s">
        <x:v>243</x:v>
      </x:c>
      <x:c r="C22" s="7" t="s">
        <x:v>208</x:v>
      </x:c>
      <x:c r="D22" s="8">
        <x:v>5222</x:v>
      </x:c>
      <x:c r="E22" s="10" t="s">
        <x:v>197</x:v>
      </x:c>
      <x:c r="F22" s="8">
        <x:v>4061</x:v>
      </x:c>
      <x:c r="G22" s="10" t="s">
        <x:v>291</x:v>
      </x:c>
      <x:c r="H22" s="8">
        <x:v>3380</x:v>
      </x:c>
      <x:c r="I22" s="8">
        <x:v>4061</x:v>
      </x:c>
      <x:c r="J22" s="10" t="s">
        <x:v>198</x:v>
      </x:c>
      <x:c r="K22" s="8"/>
      <x:c r="L22" s="9"/>
      <x:c r="M22" s="8"/>
      <x:c r="N22" s="8">
        <x:f>MIN(D22,F22,H22,I22,K22,M22)</x:f>
        <x:v>3380</x:v>
      </x:c>
      <x:c r="O22" s="11" t="s">
        <x:v>220</x:v>
      </x:c>
    </x:row>
    <x:row r="23" spans="1:15" ht="23.100000000000001" customHeight="1">
      <x:c r="A23" s="6" t="s">
        <x:v>292</x:v>
      </x:c>
      <x:c r="B23" s="6" t="s">
        <x:v>283</x:v>
      </x:c>
      <x:c r="C23" s="7" t="s">
        <x:v>216</x:v>
      </x:c>
      <x:c r="D23" s="8">
        <x:v>24000</x:v>
      </x:c>
      <x:c r="E23" s="10" t="s">
        <x:v>214</x:v>
      </x:c>
      <x:c r="F23" s="8">
        <x:v>25200</x:v>
      </x:c>
      <x:c r="G23" s="10" t="s">
        <x:v>219</x:v>
      </x:c>
      <x:c r="H23" s="8"/>
      <x:c r="I23" s="8">
        <x:v>25200</x:v>
      </x:c>
      <x:c r="J23" s="10" t="s">
        <x:v>221</x:v>
      </x:c>
      <x:c r="K23" s="8"/>
      <x:c r="L23" s="9"/>
      <x:c r="M23" s="8"/>
      <x:c r="N23" s="8">
        <x:f>MIN(D23,F23,H23,I23,K23,M23)</x:f>
        <x:v>24000</x:v>
      </x:c>
      <x:c r="O23" s="11" t="s">
        <x:v>220</x:v>
      </x:c>
    </x:row>
    <x:row r="24" spans="1:15" ht="23.100000000000001" customHeight="1">
      <x:c r="A24" s="6" t="s">
        <x:v>196</x:v>
      </x:c>
      <x:c r="B24" s="6" t="s">
        <x:v>32</x:v>
      </x:c>
      <x:c r="C24" s="7" t="s">
        <x:v>211</x:v>
      </x:c>
      <x:c r="D24" s="8">
        <x:v>102</x:v>
      </x:c>
      <x:c r="E24" s="10" t="s">
        <x:v>195</x:v>
      </x:c>
      <x:c r="F24" s="8">
        <x:v>102</x:v>
      </x:c>
      <x:c r="G24" s="10" t="s">
        <x:v>194</x:v>
      </x:c>
      <x:c r="H24" s="8"/>
      <x:c r="I24" s="8"/>
      <x:c r="J24" s="9"/>
      <x:c r="K24" s="8">
        <x:v>104</x:v>
      </x:c>
      <x:c r="L24" s="10" t="s">
        <x:v>192</x:v>
      </x:c>
      <x:c r="M24" s="8"/>
      <x:c r="N24" s="8">
        <x:f>MIN(D24,F24,H24,I24,K24,M24)</x:f>
        <x:v>102</x:v>
      </x:c>
      <x:c r="O24" s="11" t="s">
        <x:v>220</x:v>
      </x:c>
    </x:row>
    <x:row r="25" spans="1:15" ht="23.100000000000001" customHeight="1">
      <x:c r="A25" s="6" t="s">
        <x:v>193</x:v>
      </x:c>
      <x:c r="B25" s="6" t="s">
        <x:v>537</x:v>
      </x:c>
      <x:c r="C25" s="7" t="s">
        <x:v>208</x:v>
      </x:c>
      <x:c r="D25" s="8">
        <x:v>2711</x:v>
      </x:c>
      <x:c r="E25" s="10" t="s">
        <x:v>207</x:v>
      </x:c>
      <x:c r="F25" s="8">
        <x:v>1944</x:v>
      </x:c>
      <x:c r="G25" s="10" t="s">
        <x:v>291</x:v>
      </x:c>
      <x:c r="H25" s="8">
        <x:v>1840</x:v>
      </x:c>
      <x:c r="I25" s="8">
        <x:v>1944</x:v>
      </x:c>
      <x:c r="J25" s="10" t="s">
        <x:v>198</x:v>
      </x:c>
      <x:c r="K25" s="8">
        <x:v>1944</x:v>
      </x:c>
      <x:c r="L25" s="10" t="s">
        <x:v>191</x:v>
      </x:c>
      <x:c r="M25" s="8"/>
      <x:c r="N25" s="8">
        <x:f>MIN(D25,F25,H25,I25,K25,M25)</x:f>
        <x:v>1840</x:v>
      </x:c>
      <x:c r="O25" s="11" t="s">
        <x:v>220</x:v>
      </x:c>
    </x:row>
    <x:row r="26" spans="1:15" ht="23.100000000000001" customHeight="1">
      <x:c r="A26" s="6" t="s">
        <x:v>193</x:v>
      </x:c>
      <x:c r="B26" s="6" t="s">
        <x:v>242</x:v>
      </x:c>
      <x:c r="C26" s="7" t="s">
        <x:v>208</x:v>
      </x:c>
      <x:c r="D26" s="8">
        <x:v>2711</x:v>
      </x:c>
      <x:c r="E26" s="10" t="s">
        <x:v>207</x:v>
      </x:c>
      <x:c r="F26" s="8">
        <x:v>1777</x:v>
      </x:c>
      <x:c r="G26" s="10" t="s">
        <x:v>291</x:v>
      </x:c>
      <x:c r="H26" s="8">
        <x:v>1780</x:v>
      </x:c>
      <x:c r="I26" s="8">
        <x:v>1777</x:v>
      </x:c>
      <x:c r="J26" s="10" t="s">
        <x:v>198</x:v>
      </x:c>
      <x:c r="K26" s="8">
        <x:v>1777</x:v>
      </x:c>
      <x:c r="L26" s="10" t="s">
        <x:v>191</x:v>
      </x:c>
      <x:c r="M26" s="8"/>
      <x:c r="N26" s="8">
        <x:f>MIN(D26,F26,H26,I26,K26,M26)</x:f>
        <x:v>1777</x:v>
      </x:c>
      <x:c r="O26" s="11" t="s">
        <x:v>220</x:v>
      </x:c>
    </x:row>
    <x:row r="27" spans="1:15" ht="23.100000000000001" customHeight="1">
      <x:c r="A27" s="6" t="s">
        <x:v>190</x:v>
      </x:c>
      <x:c r="B27" s="6" t="s">
        <x:v>220</x:v>
      </x:c>
      <x:c r="C27" s="7" t="s">
        <x:v>208</x:v>
      </x:c>
      <x:c r="D27" s="8">
        <x:v>1440</x:v>
      </x:c>
      <x:c r="E27" s="10" t="s">
        <x:v>295</x:v>
      </x:c>
      <x:c r="F27" s="8">
        <x:v>1500</x:v>
      </x:c>
      <x:c r="G27" s="10" t="s">
        <x:v>293</x:v>
      </x:c>
      <x:c r="H27" s="8"/>
      <x:c r="I27" s="8"/>
      <x:c r="J27" s="9"/>
      <x:c r="K27" s="8"/>
      <x:c r="L27" s="9"/>
      <x:c r="M27" s="8"/>
      <x:c r="N27" s="8">
        <x:f>MIN(D27,F27,H27,I27,K27,M27)</x:f>
        <x:v>1440</x:v>
      </x:c>
      <x:c r="O27" s="11" t="s">
        <x:v>220</x:v>
      </x:c>
    </x:row>
    <x:row r="28" spans="1:15" ht="23.100000000000001" customHeight="1">
      <x:c r="A28" s="6" t="s">
        <x:v>294</x:v>
      </x:c>
      <x:c r="B28" s="6" t="s">
        <x:v>220</x:v>
      </x:c>
      <x:c r="C28" s="7" t="s">
        <x:v>211</x:v>
      </x:c>
      <x:c r="D28" s="8">
        <x:v>11000</x:v>
      </x:c>
      <x:c r="E28" s="10" t="s">
        <x:v>286</x:v>
      </x:c>
      <x:c r="F28" s="8">
        <x:v>13000</x:v>
      </x:c>
      <x:c r="G28" s="10" t="s">
        <x:v>287</x:v>
      </x:c>
      <x:c r="H28" s="8">
        <x:v>9500</x:v>
      </x:c>
      <x:c r="I28" s="8"/>
      <x:c r="J28" s="9"/>
      <x:c r="K28" s="8">
        <x:v>10000</x:v>
      </x:c>
      <x:c r="L28" s="10" t="s">
        <x:v>290</x:v>
      </x:c>
      <x:c r="M28" s="8"/>
      <x:c r="N28" s="8">
        <x:f>MIN(D28,F28,H28,I28,K28,M28)</x:f>
        <x:v>9500</x:v>
      </x:c>
      <x:c r="O28" s="11" t="s">
        <x:v>297</x:v>
      </x:c>
    </x:row>
    <x:row r="29" spans="1:15" ht="23.100000000000001" customHeight="1">
      <x:c r="A29" s="6" t="s">
        <x:v>300</x:v>
      </x:c>
      <x:c r="B29" s="6" t="s">
        <x:v>534</x:v>
      </x:c>
      <x:c r="C29" s="7" t="s">
        <x:v>208</x:v>
      </x:c>
      <x:c r="D29" s="8"/>
      <x:c r="E29" s="9"/>
      <x:c r="F29" s="8">
        <x:v>7338</x:v>
      </x:c>
      <x:c r="G29" s="10" t="s">
        <x:v>298</x:v>
      </x:c>
      <x:c r="H29" s="8"/>
      <x:c r="I29" s="8">
        <x:v>7338</x:v>
      </x:c>
      <x:c r="J29" s="10" t="s">
        <x:v>189</x:v>
      </x:c>
      <x:c r="K29" s="8"/>
      <x:c r="L29" s="9"/>
      <x:c r="M29" s="8"/>
      <x:c r="N29" s="8">
        <x:f>MIN(D29,F29,H29,I29,K29,M29)</x:f>
        <x:v>7338</x:v>
      </x:c>
      <x:c r="O29" s="11" t="s">
        <x:v>220</x:v>
      </x:c>
    </x:row>
    <x:row r="30" spans="1:15" ht="23.100000000000001" customHeight="1">
      <x:c r="A30" s="6" t="s">
        <x:v>299</x:v>
      </x:c>
      <x:c r="B30" s="6" t="s">
        <x:v>31</x:v>
      </x:c>
      <x:c r="C30" s="7" t="s">
        <x:v>188</x:v>
      </x:c>
      <x:c r="D30" s="8">
        <x:v>31000</x:v>
      </x:c>
      <x:c r="E30" s="10" t="s">
        <x:v>214</x:v>
      </x:c>
      <x:c r="F30" s="8"/>
      <x:c r="G30" s="9"/>
      <x:c r="H30" s="8">
        <x:v>26350</x:v>
      </x:c>
      <x:c r="I30" s="8"/>
      <x:c r="J30" s="9"/>
      <x:c r="K30" s="8"/>
      <x:c r="L30" s="9"/>
      <x:c r="M30" s="8"/>
      <x:c r="N30" s="8">
        <x:f>MIN(D30,F30,H30,I30,K30,M30)</x:f>
        <x:v>26350</x:v>
      </x:c>
      <x:c r="O30" s="11" t="s">
        <x:v>220</x:v>
      </x:c>
    </x:row>
    <x:row r="31" spans="1:15" ht="23.100000000000001" customHeight="1">
      <x:c r="A31" s="6" t="s">
        <x:v>301</x:v>
      </x:c>
      <x:c r="B31" s="6" t="s">
        <x:v>301</x:v>
      </x:c>
      <x:c r="C31" s="7" t="s">
        <x:v>216</x:v>
      </x:c>
      <x:c r="D31" s="8">
        <x:v>1000</x:v>
      </x:c>
      <x:c r="E31" s="10" t="s">
        <x:v>214</x:v>
      </x:c>
      <x:c r="F31" s="8"/>
      <x:c r="G31" s="9"/>
      <x:c r="H31" s="8"/>
      <x:c r="I31" s="8"/>
      <x:c r="J31" s="9"/>
      <x:c r="K31" s="8"/>
      <x:c r="L31" s="9"/>
      <x:c r="M31" s="8"/>
      <x:c r="N31" s="8">
        <x:f>MIN(D31,F31,H31,I31,K31,M31)</x:f>
        <x:v>1000</x:v>
      </x:c>
      <x:c r="O31" s="11" t="s">
        <x:v>220</x:v>
      </x:c>
    </x:row>
    <x:row r="32" spans="1:15" ht="23.100000000000001" customHeight="1">
      <x:c r="A32" s="6" t="s">
        <x:v>187</x:v>
      </x:c>
      <x:c r="B32" s="6" t="s">
        <x:v>30</x:v>
      </x:c>
      <x:c r="C32" s="7" t="s">
        <x:v>188</x:v>
      </x:c>
      <x:c r="D32" s="8">
        <x:v>220</x:v>
      </x:c>
      <x:c r="E32" s="10" t="s">
        <x:v>302</x:v>
      </x:c>
      <x:c r="F32" s="8">
        <x:v>275</x:v>
      </x:c>
      <x:c r="G32" s="10" t="s">
        <x:v>305</x:v>
      </x:c>
      <x:c r="H32" s="8">
        <x:v>200</x:v>
      </x:c>
      <x:c r="I32" s="8">
        <x:v>275</x:v>
      </x:c>
      <x:c r="J32" s="10" t="s">
        <x:v>303</x:v>
      </x:c>
      <x:c r="K32" s="8">
        <x:v>230</x:v>
      </x:c>
      <x:c r="L32" s="10" t="s">
        <x:v>304</x:v>
      </x:c>
      <x:c r="M32" s="8"/>
      <x:c r="N32" s="8">
        <x:f>MIN(D32,F32,H32,I32,K32,M32)</x:f>
        <x:v>200</x:v>
      </x:c>
      <x:c r="O32" s="11" t="s">
        <x:v>220</x:v>
      </x:c>
    </x:row>
    <x:row r="33" spans="1:15" ht="23.100000000000001" customHeight="1">
      <x:c r="A33" s="6" t="s">
        <x:v>28</x:v>
      </x:c>
      <x:c r="B33" s="6" t="s">
        <x:v>29</x:v>
      </x:c>
      <x:c r="C33" s="7" t="s">
        <x:v>211</x:v>
      </x:c>
      <x:c r="D33" s="8">
        <x:v>3150</x:v>
      </x:c>
      <x:c r="E33" s="10" t="s">
        <x:v>306</x:v>
      </x:c>
      <x:c r="F33" s="8"/>
      <x:c r="G33" s="9"/>
      <x:c r="H33" s="8"/>
      <x:c r="I33" s="8"/>
      <x:c r="J33" s="9"/>
      <x:c r="K33" s="8"/>
      <x:c r="L33" s="9"/>
      <x:c r="M33" s="8"/>
      <x:c r="N33" s="8">
        <x:f>MIN(D33,F33,H33,I33,K33,M33)</x:f>
        <x:v>3150</x:v>
      </x:c>
      <x:c r="O33" s="11" t="s">
        <x:v>220</x:v>
      </x:c>
    </x:row>
    <x:row r="34" spans="1:15" ht="23.100000000000001" customHeight="1">
      <x:c r="A34" s="6" t="s">
        <x:v>307</x:v>
      </x:c>
      <x:c r="B34" s="6" t="s">
        <x:v>27</x:v>
      </x:c>
      <x:c r="C34" s="7" t="s">
        <x:v>216</x:v>
      </x:c>
      <x:c r="D34" s="8">
        <x:v>900</x:v>
      </x:c>
      <x:c r="E34" s="10" t="s">
        <x:v>200</x:v>
      </x:c>
      <x:c r="F34" s="8">
        <x:v>1020</x:v>
      </x:c>
      <x:c r="G34" s="10" t="s">
        <x:v>219</x:v>
      </x:c>
      <x:c r="H34" s="8">
        <x:v>830</x:v>
      </x:c>
      <x:c r="I34" s="8">
        <x:v>1020</x:v>
      </x:c>
      <x:c r="J34" s="10" t="s">
        <x:v>221</x:v>
      </x:c>
      <x:c r="K34" s="8"/>
      <x:c r="L34" s="9"/>
      <x:c r="M34" s="8"/>
      <x:c r="N34" s="8">
        <x:f>MIN(D34,F34,H34,I34,K34,M34)</x:f>
        <x:v>830</x:v>
      </x:c>
      <x:c r="O34" s="11" t="s">
        <x:v>220</x:v>
      </x:c>
    </x:row>
    <x:row r="35" spans="1:15" ht="23.100000000000001" customHeight="1">
      <x:c r="A35" s="6" t="s">
        <x:v>310</x:v>
      </x:c>
      <x:c r="B35" s="6" t="s">
        <x:v>26</x:v>
      </x:c>
      <x:c r="C35" s="7" t="s">
        <x:v>216</x:v>
      </x:c>
      <x:c r="D35" s="8"/>
      <x:c r="E35" s="9"/>
      <x:c r="F35" s="8"/>
      <x:c r="G35" s="9"/>
      <x:c r="H35" s="8">
        <x:v>1690</x:v>
      </x:c>
      <x:c r="I35" s="8"/>
      <x:c r="J35" s="9"/>
      <x:c r="K35" s="8"/>
      <x:c r="L35" s="9"/>
      <x:c r="M35" s="8"/>
      <x:c r="N35" s="8">
        <x:f>MIN(D35,F35,H35,I35,K35,M35)</x:f>
        <x:v>1690</x:v>
      </x:c>
      <x:c r="O35" s="11" t="s">
        <x:v>220</x:v>
      </x:c>
    </x:row>
    <x:row r="36" spans="1:15" ht="23.100000000000001" customHeight="1">
      <x:c r="A36" s="6" t="s">
        <x:v>186</x:v>
      </x:c>
      <x:c r="B36" s="6" t="s">
        <x:v>220</x:v>
      </x:c>
      <x:c r="C36" s="7" t="s">
        <x:v>216</x:v>
      </x:c>
      <x:c r="D36" s="8"/>
      <x:c r="E36" s="9"/>
      <x:c r="F36" s="8">
        <x:v>10600</x:v>
      </x:c>
      <x:c r="G36" s="10" t="s">
        <x:v>219</x:v>
      </x:c>
      <x:c r="H36" s="8"/>
      <x:c r="I36" s="8">
        <x:v>10600</x:v>
      </x:c>
      <x:c r="J36" s="10" t="s">
        <x:v>221</x:v>
      </x:c>
      <x:c r="K36" s="8"/>
      <x:c r="L36" s="9"/>
      <x:c r="M36" s="8"/>
      <x:c r="N36" s="8">
        <x:f>MIN(D36,F36,H36,I36,K36,M36)</x:f>
        <x:v>10600</x:v>
      </x:c>
      <x:c r="O36" s="11" t="s">
        <x:v>220</x:v>
      </x:c>
    </x:row>
    <x:row r="37" spans="1:15" ht="23.100000000000001" customHeight="1">
      <x:c r="A37" s="6" t="s">
        <x:v>185</x:v>
      </x:c>
      <x:c r="B37" s="6" t="s">
        <x:v>220</x:v>
      </x:c>
      <x:c r="C37" s="7" t="s">
        <x:v>184</x:v>
      </x:c>
      <x:c r="D37" s="12">
        <x:v>61.299999999999997</x:v>
      </x:c>
      <x:c r="E37" s="10" t="s">
        <x:v>308</x:v>
      </x:c>
      <x:c r="F37" s="12"/>
      <x:c r="G37" s="9"/>
      <x:c r="H37" s="12"/>
      <x:c r="I37" s="12"/>
      <x:c r="J37" s="9"/>
      <x:c r="K37" s="12"/>
      <x:c r="L37" s="9"/>
      <x:c r="M37" s="12"/>
      <x:c r="N37" s="12">
        <x:f>MIN(D37,F37,H37,I37,K37,M37)</x:f>
        <x:v>61.299999999999997</x:v>
      </x:c>
      <x:c r="O37" s="11" t="s">
        <x:v>220</x:v>
      </x:c>
    </x:row>
    <x:row r="38" spans="1:15" ht="23.100000000000001" customHeight="1">
      <x:c r="A38" s="6" t="s">
        <x:v>183</x:v>
      </x:c>
      <x:c r="B38" s="6" t="s">
        <x:v>309</x:v>
      </x:c>
      <x:c r="C38" s="7" t="s">
        <x:v>211</x:v>
      </x:c>
      <x:c r="D38" s="8"/>
      <x:c r="E38" s="9"/>
      <x:c r="F38" s="8"/>
      <x:c r="G38" s="9"/>
      <x:c r="H38" s="8">
        <x:v>2450</x:v>
      </x:c>
      <x:c r="I38" s="8"/>
      <x:c r="J38" s="9"/>
      <x:c r="K38" s="8"/>
      <x:c r="L38" s="9"/>
      <x:c r="M38" s="8"/>
      <x:c r="N38" s="8">
        <x:f>MIN(D38,F38,H38,I38,K38,M38)</x:f>
        <x:v>2450</x:v>
      </x:c>
      <x:c r="O38" s="11" t="s">
        <x:v>220</x:v>
      </x:c>
    </x:row>
    <x:row r="39" spans="1:15" ht="23.100000000000001" customHeight="1">
      <x:c r="A39" s="6" t="s">
        <x:v>311</x:v>
      </x:c>
      <x:c r="B39" s="6" t="s">
        <x:v>25</x:v>
      </x:c>
      <x:c r="C39" s="7" t="s">
        <x:v>216</x:v>
      </x:c>
      <x:c r="D39" s="8">
        <x:v>1600</x:v>
      </x:c>
      <x:c r="E39" s="10" t="s">
        <x:v>200</x:v>
      </x:c>
      <x:c r="F39" s="8">
        <x:v>1520</x:v>
      </x:c>
      <x:c r="G39" s="10" t="s">
        <x:v>219</x:v>
      </x:c>
      <x:c r="H39" s="8">
        <x:v>1270</x:v>
      </x:c>
      <x:c r="I39" s="8">
        <x:v>1520</x:v>
      </x:c>
      <x:c r="J39" s="10" t="s">
        <x:v>221</x:v>
      </x:c>
      <x:c r="K39" s="8"/>
      <x:c r="L39" s="9"/>
      <x:c r="M39" s="8"/>
      <x:c r="N39" s="8">
        <x:f>MIN(D39,F39,H39,I39,K39,M39)</x:f>
        <x:v>1270</x:v>
      </x:c>
      <x:c r="O39" s="11" t="s">
        <x:v>220</x:v>
      </x:c>
    </x:row>
    <x:row r="40" spans="1:15" ht="23.100000000000001" customHeight="1">
      <x:c r="A40" s="6" t="s">
        <x:v>182</x:v>
      </x:c>
      <x:c r="B40" s="6" t="s">
        <x:v>23</x:v>
      </x:c>
      <x:c r="C40" s="7" t="s">
        <x:v>211</x:v>
      </x:c>
      <x:c r="D40" s="8">
        <x:v>3833</x:v>
      </x:c>
      <x:c r="E40" s="10" t="s">
        <x:v>181</x:v>
      </x:c>
      <x:c r="F40" s="8"/>
      <x:c r="G40" s="9"/>
      <x:c r="H40" s="8">
        <x:v>3090</x:v>
      </x:c>
      <x:c r="I40" s="8"/>
      <x:c r="J40" s="9"/>
      <x:c r="K40" s="8"/>
      <x:c r="L40" s="9"/>
      <x:c r="M40" s="8"/>
      <x:c r="N40" s="8">
        <x:f>MIN(D40,F40,H40,I40,K40,M40)</x:f>
        <x:v>3090</x:v>
      </x:c>
      <x:c r="O40" s="11" t="s">
        <x:v>220</x:v>
      </x:c>
    </x:row>
    <x:row r="41" spans="1:15" ht="23.100000000000001" customHeight="1">
      <x:c r="A41" s="6" t="s">
        <x:v>182</x:v>
      </x:c>
      <x:c r="B41" s="6" t="s">
        <x:v>24</x:v>
      </x:c>
      <x:c r="C41" s="7" t="s">
        <x:v>211</x:v>
      </x:c>
      <x:c r="D41" s="8">
        <x:v>3833</x:v>
      </x:c>
      <x:c r="E41" s="10" t="s">
        <x:v>181</x:v>
      </x:c>
      <x:c r="F41" s="8"/>
      <x:c r="G41" s="9"/>
      <x:c r="H41" s="8">
        <x:v>3090</x:v>
      </x:c>
      <x:c r="I41" s="8"/>
      <x:c r="J41" s="9"/>
      <x:c r="K41" s="8"/>
      <x:c r="L41" s="9"/>
      <x:c r="M41" s="8"/>
      <x:c r="N41" s="8">
        <x:f>MIN(D41,F41,H41,I41,K41,M41)</x:f>
        <x:v>3090</x:v>
      </x:c>
      <x:c r="O41" s="11" t="s">
        <x:v>220</x:v>
      </x:c>
    </x:row>
    <x:row r="42" spans="1:15" ht="23.100000000000001" customHeight="1">
      <x:c r="A42" s="6" t="s">
        <x:v>180</x:v>
      </x:c>
      <x:c r="B42" s="6" t="s">
        <x:v>179</x:v>
      </x:c>
      <x:c r="C42" s="7" t="s">
        <x:v>208</x:v>
      </x:c>
      <x:c r="D42" s="8">
        <x:v>1371</x:v>
      </x:c>
      <x:c r="E42" s="10" t="s">
        <x:v>312</x:v>
      </x:c>
      <x:c r="F42" s="8">
        <x:v>1433</x:v>
      </x:c>
      <x:c r="G42" s="10" t="s">
        <x:v>315</x:v>
      </x:c>
      <x:c r="H42" s="8">
        <x:v>1399</x:v>
      </x:c>
      <x:c r="I42" s="8">
        <x:v>1366</x:v>
      </x:c>
      <x:c r="J42" s="10" t="s">
        <x:v>313</x:v>
      </x:c>
      <x:c r="K42" s="8">
        <x:v>1457</x:v>
      </x:c>
      <x:c r="L42" s="10" t="s">
        <x:v>290</x:v>
      </x:c>
      <x:c r="M42" s="8"/>
      <x:c r="N42" s="8">
        <x:f>MIN(D42,F42,H42,I42,K42,M42)</x:f>
        <x:v>1366</x:v>
      </x:c>
      <x:c r="O42" s="11" t="s">
        <x:v>220</x:v>
      </x:c>
    </x:row>
    <x:row r="43" spans="1:15" ht="23.100000000000001" customHeight="1">
      <x:c r="A43" s="6" t="s">
        <x:v>178</x:v>
      </x:c>
      <x:c r="B43" s="6" t="s">
        <x:v>220</x:v>
      </x:c>
      <x:c r="C43" s="7" t="s">
        <x:v>177</x:v>
      </x:c>
      <x:c r="D43" s="8"/>
      <x:c r="E43" s="9"/>
      <x:c r="F43" s="8"/>
      <x:c r="G43" s="9"/>
      <x:c r="H43" s="8"/>
      <x:c r="I43" s="8"/>
      <x:c r="J43" s="9"/>
      <x:c r="K43" s="8"/>
      <x:c r="L43" s="9"/>
      <x:c r="M43" s="8"/>
      <x:c r="N43" s="8">
        <x:v>135112</x:v>
      </x:c>
      <x:c r="O43" s="11" t="s">
        <x:v>220</x:v>
      </x:c>
    </x:row>
    <x:row r="44" spans="1:15" ht="23.100000000000001" customHeight="1">
      <x:c r="A44" s="6" t="s">
        <x:v>176</x:v>
      </x:c>
      <x:c r="B44" s="6" t="s">
        <x:v>220</x:v>
      </x:c>
      <x:c r="C44" s="7" t="s">
        <x:v>177</x:v>
      </x:c>
      <x:c r="D44" s="8"/>
      <x:c r="E44" s="9"/>
      <x:c r="F44" s="8"/>
      <x:c r="G44" s="9"/>
      <x:c r="H44" s="8"/>
      <x:c r="I44" s="8"/>
      <x:c r="J44" s="9"/>
      <x:c r="K44" s="8"/>
      <x:c r="L44" s="9"/>
      <x:c r="M44" s="8"/>
      <x:c r="N44" s="8">
        <x:v>122128</x:v>
      </x:c>
      <x:c r="O44" s="11" t="s">
        <x:v>220</x:v>
      </x:c>
    </x:row>
    <x:row r="45" spans="1:15" ht="23.100000000000001" customHeight="1">
      <x:c r="A45" s="6" t="s">
        <x:v>175</x:v>
      </x:c>
      <x:c r="B45" s="6" t="s">
        <x:v>220</x:v>
      </x:c>
      <x:c r="C45" s="7" t="s">
        <x:v>177</x:v>
      </x:c>
      <x:c r="D45" s="8"/>
      <x:c r="E45" s="9"/>
      <x:c r="F45" s="8"/>
      <x:c r="G45" s="9"/>
      <x:c r="H45" s="8"/>
      <x:c r="I45" s="8"/>
      <x:c r="J45" s="9"/>
      <x:c r="K45" s="8"/>
      <x:c r="L45" s="9"/>
      <x:c r="M45" s="8"/>
      <x:c r="N45" s="8">
        <x:v>140811</x:v>
      </x:c>
      <x:c r="O45" s="11" t="s">
        <x:v>220</x:v>
      </x:c>
    </x:row>
    <x:row r="46" spans="1:15" ht="23.100000000000001" customHeight="1">
      <x:c r="A46" s="6" t="s">
        <x:v>174</x:v>
      </x:c>
      <x:c r="B46" s="6" t="s">
        <x:v>220</x:v>
      </x:c>
      <x:c r="C46" s="7" t="s">
        <x:v>177</x:v>
      </x:c>
      <x:c r="D46" s="8"/>
      <x:c r="E46" s="9"/>
      <x:c r="F46" s="8"/>
      <x:c r="G46" s="9"/>
      <x:c r="H46" s="8"/>
      <x:c r="I46" s="8"/>
      <x:c r="J46" s="9"/>
      <x:c r="K46" s="8"/>
      <x:c r="L46" s="9"/>
      <x:c r="M46" s="8"/>
      <x:c r="N46" s="8">
        <x:v>116622</x:v>
      </x:c>
      <x:c r="O46" s="11" t="s">
        <x:v>220</x:v>
      </x:c>
    </x:row>
    <x:row r="47" spans="1:15" ht="23.100000000000001" customHeight="1">
      <x:c r="A47" s="6" t="s">
        <x:v>314</x:v>
      </x:c>
      <x:c r="B47" s="6" t="s">
        <x:v>220</x:v>
      </x:c>
      <x:c r="C47" s="7" t="s">
        <x:v>177</x:v>
      </x:c>
      <x:c r="D47" s="8"/>
      <x:c r="E47" s="9"/>
      <x:c r="F47" s="8"/>
      <x:c r="G47" s="9"/>
      <x:c r="H47" s="8"/>
      <x:c r="I47" s="8"/>
      <x:c r="J47" s="9"/>
      <x:c r="K47" s="8"/>
      <x:c r="L47" s="9"/>
      <x:c r="M47" s="8"/>
      <x:c r="N47" s="8">
        <x:v>87805</x:v>
      </x:c>
      <x:c r="O47" s="11" t="s">
        <x:v>220</x:v>
      </x:c>
    </x:row>
    <x:row r="48" spans="1:15" ht="23.100000000000001" customHeight="1">
      <x:c r="A48" s="6" t="s">
        <x:v>173</x:v>
      </x:c>
      <x:c r="B48" s="6" t="s">
        <x:v>220</x:v>
      </x:c>
      <x:c r="C48" s="7" t="s">
        <x:v>177</x:v>
      </x:c>
      <x:c r="D48" s="8"/>
      <x:c r="E48" s="9"/>
      <x:c r="F48" s="8"/>
      <x:c r="G48" s="9"/>
      <x:c r="H48" s="8"/>
      <x:c r="I48" s="8"/>
      <x:c r="J48" s="9"/>
      <x:c r="K48" s="8"/>
      <x:c r="L48" s="9"/>
      <x:c r="M48" s="8"/>
      <x:c r="N48" s="8">
        <x:v>158014</x:v>
      </x:c>
      <x:c r="O48" s="11" t="s">
        <x:v>220</x:v>
      </x:c>
    </x:row>
    <x:row r="49" spans="1:15" ht="23.100000000000001" customHeight="1">
      <x:c r="A49" s="6" t="s">
        <x:v>172</x:v>
      </x:c>
      <x:c r="B49" s="6" t="s">
        <x:v>220</x:v>
      </x:c>
      <x:c r="C49" s="7" t="s">
        <x:v>177</x:v>
      </x:c>
      <x:c r="D49" s="8"/>
      <x:c r="E49" s="9"/>
      <x:c r="F49" s="8"/>
      <x:c r="G49" s="9"/>
      <x:c r="H49" s="8"/>
      <x:c r="I49" s="8"/>
      <x:c r="J49" s="9"/>
      <x:c r="K49" s="8"/>
      <x:c r="L49" s="9"/>
      <x:c r="M49" s="8"/>
      <x:c r="N49" s="8">
        <x:v>134516</x:v>
      </x:c>
      <x:c r="O49" s="11" t="s">
        <x:v>316</x:v>
      </x:c>
    </x:row>
    <x:row r="50" spans="1:15" ht="23.100000000000001" customHeight="1">
      <x:c r="A50" s="6" t="s">
        <x:v>317</x:v>
      </x:c>
      <x:c r="B50" s="6" t="s">
        <x:v>220</x:v>
      </x:c>
      <x:c r="C50" s="7" t="s">
        <x:v>177</x:v>
      </x:c>
      <x:c r="D50" s="8"/>
      <x:c r="E50" s="9"/>
      <x:c r="F50" s="8"/>
      <x:c r="G50" s="9"/>
      <x:c r="H50" s="8"/>
      <x:c r="I50" s="8"/>
      <x:c r="J50" s="9"/>
      <x:c r="K50" s="8"/>
      <x:c r="L50" s="9"/>
      <x:c r="M50" s="8"/>
      <x:c r="N50" s="8">
        <x:v>88379</x:v>
      </x:c>
      <x:c r="O50" s="11" t="s">
        <x:v>318</x:v>
      </x:c>
    </x:row>
    <x:row r="51" spans="1:15" ht="23.100000000000001" customHeight="1">
      <x:c r="A51" s="6" t="s">
        <x:v>170</x:v>
      </x:c>
      <x:c r="B51" s="6" t="s">
        <x:v>220</x:v>
      </x:c>
      <x:c r="C51" s="7" t="s">
        <x:v>177</x:v>
      </x:c>
      <x:c r="D51" s="8"/>
      <x:c r="E51" s="9"/>
      <x:c r="F51" s="8"/>
      <x:c r="G51" s="9"/>
      <x:c r="H51" s="8"/>
      <x:c r="I51" s="8"/>
      <x:c r="J51" s="9"/>
      <x:c r="K51" s="8"/>
      <x:c r="L51" s="9"/>
      <x:c r="M51" s="8"/>
      <x:c r="N51" s="8">
        <x:v>138946</x:v>
      </x:c>
      <x:c r="O51" s="11" t="s">
        <x:v>220</x:v>
      </x:c>
    </x:row>
    <x:row r="52" spans="1:15" ht="23.100000000000001" customHeight="1">
      <x:c r="A52" s="6" t="s">
        <x:v>319</x:v>
      </x:c>
      <x:c r="B52" s="6" t="s">
        <x:v>220</x:v>
      </x:c>
      <x:c r="C52" s="7" t="s">
        <x:v>177</x:v>
      </x:c>
      <x:c r="D52" s="8"/>
      <x:c r="E52" s="9"/>
      <x:c r="F52" s="8"/>
      <x:c r="G52" s="9"/>
      <x:c r="H52" s="8"/>
      <x:c r="I52" s="8"/>
      <x:c r="J52" s="9"/>
      <x:c r="K52" s="8"/>
      <x:c r="L52" s="9"/>
      <x:c r="M52" s="8"/>
      <x:c r="N52" s="8">
        <x:v>108245</x:v>
      </x:c>
      <x:c r="O52" s="11" t="s">
        <x:v>220</x:v>
      </x:c>
    </x:row>
    <x:row r="53" spans="1:15" ht="23.100000000000001" customHeight="1">
      <x:c r="A53" s="6" t="s">
        <x:v>171</x:v>
      </x:c>
      <x:c r="B53" s="6" t="s">
        <x:v>220</x:v>
      </x:c>
      <x:c r="C53" s="7" t="s">
        <x:v>177</x:v>
      </x:c>
      <x:c r="D53" s="8"/>
      <x:c r="E53" s="9"/>
      <x:c r="F53" s="8"/>
      <x:c r="G53" s="9"/>
      <x:c r="H53" s="8"/>
      <x:c r="I53" s="8"/>
      <x:c r="J53" s="9"/>
      <x:c r="K53" s="8"/>
      <x:c r="L53" s="9"/>
      <x:c r="M53" s="8"/>
      <x:c r="N53" s="8">
        <x:v>119672</x:v>
      </x:c>
      <x:c r="O53" s="11" t="s">
        <x:v>220</x:v>
      </x:c>
    </x:row>
    <x:row r="54" spans="1:15" ht="23.100000000000001" customHeight="1">
      <x:c r="A54" s="6" t="s">
        <x:v>535</x:v>
      </x:c>
      <x:c r="B54" s="6" t="s">
        <x:v>528</x:v>
      </x:c>
      <x:c r="C54" s="7" t="s">
        <x:v>169</x:v>
      </x:c>
      <x:c r="D54" s="8">
        <x:v>1820</x:v>
      </x:c>
      <x:c r="E54" s="10" t="s">
        <x:v>320</x:v>
      </x:c>
      <x:c r="F54" s="8">
        <x:v>1820</x:v>
      </x:c>
      <x:c r="G54" s="10" t="s">
        <x:v>321</x:v>
      </x:c>
      <x:c r="H54" s="8"/>
      <x:c r="I54" s="8"/>
      <x:c r="J54" s="9"/>
      <x:c r="K54" s="8"/>
      <x:c r="L54" s="9"/>
      <x:c r="M54" s="8"/>
      <x:c r="N54" s="8">
        <x:f>MIN(D54,F54,H54,I54,K54,M54)</x:f>
        <x:v>1820</x:v>
      </x:c>
      <x:c r="O54" s="11" t="s">
        <x:v>18</x:v>
      </x:c>
    </x:row>
    <x:row r="55" spans="1:15" ht="23.100000000000001" customHeight="1">
      <x:c r="A55" s="6" t="s">
        <x:v>529</x:v>
      </x:c>
      <x:c r="B55" s="6" t="s">
        <x:v>244</x:v>
      </x:c>
      <x:c r="C55" s="7" t="s">
        <x:v>169</x:v>
      </x:c>
      <x:c r="D55" s="8">
        <x:v>11840</x:v>
      </x:c>
      <x:c r="E55" s="10" t="s">
        <x:v>320</x:v>
      </x:c>
      <x:c r="F55" s="8">
        <x:v>11840</x:v>
      </x:c>
      <x:c r="G55" s="10" t="s">
        <x:v>321</x:v>
      </x:c>
      <x:c r="H55" s="8"/>
      <x:c r="I55" s="8"/>
      <x:c r="J55" s="9"/>
      <x:c r="K55" s="8"/>
      <x:c r="L55" s="9"/>
      <x:c r="M55" s="8"/>
      <x:c r="N55" s="8">
        <x:f>MIN(D55,F55,H55,I55,K55,M55)</x:f>
        <x:v>11840</x:v>
      </x:c>
      <x:c r="O55" s="11" t="s">
        <x:v>18</x:v>
      </x:c>
    </x:row>
    <x:row r="56" spans="1:15" ht="23.100000000000001" customHeight="1">
      <x:c r="A56" s="6" t="s">
        <x:v>322</x:v>
      </x:c>
      <x:c r="B56" s="6" t="s">
        <x:v>323</x:v>
      </x:c>
      <x:c r="C56" s="7" t="s">
        <x:v>168</x:v>
      </x:c>
      <x:c r="D56" s="8"/>
      <x:c r="E56" s="9"/>
      <x:c r="F56" s="8"/>
      <x:c r="G56" s="9"/>
      <x:c r="H56" s="8"/>
      <x:c r="I56" s="8"/>
      <x:c r="J56" s="9"/>
      <x:c r="K56" s="8"/>
      <x:c r="L56" s="9"/>
      <x:c r="M56" s="8">
        <x:v>4552000</x:v>
      </x:c>
      <x:c r="N56" s="8">
        <x:f>MIN(D56,F56,H56,I56,K56,M56)</x:f>
        <x:v>4552000</x:v>
      </x:c>
      <x:c r="O56" s="11" t="s">
        <x:v>324</x:v>
      </x:c>
    </x:row>
    <x:row r="57" spans="1:15" ht="23.100000000000001" customHeight="1">
      <x:c r="A57" s="6" t="s">
        <x:v>331</x:v>
      </x:c>
      <x:c r="B57" s="6" t="s">
        <x:v>325</x:v>
      </x:c>
      <x:c r="C57" s="7" t="s">
        <x:v>168</x:v>
      </x:c>
      <x:c r="D57" s="8"/>
      <x:c r="E57" s="9"/>
      <x:c r="F57" s="8"/>
      <x:c r="G57" s="9"/>
      <x:c r="H57" s="8"/>
      <x:c r="I57" s="8"/>
      <x:c r="J57" s="9"/>
      <x:c r="K57" s="8"/>
      <x:c r="L57" s="9"/>
      <x:c r="M57" s="8">
        <x:v>33000000</x:v>
      </x:c>
      <x:c r="N57" s="8">
        <x:f>MIN(D57,F57,H57,I57,K57,M57)</x:f>
        <x:v>33000000</x:v>
      </x:c>
      <x:c r="O57" s="11" t="s">
        <x:v>324</x:v>
      </x:c>
    </x:row>
    <x:row r="58" spans="1:15" ht="23.100000000000001" customHeight="1">
      <x:c r="A58" s="6" t="s">
        <x:v>326</x:v>
      </x:c>
      <x:c r="B58" s="6" t="s">
        <x:v>17</x:v>
      </x:c>
      <x:c r="C58" s="7" t="s">
        <x:v>168</x:v>
      </x:c>
      <x:c r="D58" s="8"/>
      <x:c r="E58" s="9"/>
      <x:c r="F58" s="8"/>
      <x:c r="G58" s="9"/>
      <x:c r="H58" s="8"/>
      <x:c r="I58" s="8"/>
      <x:c r="J58" s="9"/>
      <x:c r="K58" s="8"/>
      <x:c r="L58" s="9"/>
      <x:c r="M58" s="8">
        <x:v>13000</x:v>
      </x:c>
      <x:c r="N58" s="8">
        <x:f>MIN(D58,F58,H58,I58,K58,M58)</x:f>
        <x:v>13000</x:v>
      </x:c>
      <x:c r="O58" s="11" t="s">
        <x:v>324</x:v>
      </x:c>
    </x:row>
    <x:row r="59" spans="1:15" ht="23.100000000000001" customHeight="1">
      <x:c r="A59" s="6" t="s">
        <x:v>167</x:v>
      </x:c>
      <x:c r="B59" s="6" t="s">
        <x:v>166</x:v>
      </x:c>
      <x:c r="C59" s="7" t="s">
        <x:v>168</x:v>
      </x:c>
      <x:c r="D59" s="8"/>
      <x:c r="E59" s="9"/>
      <x:c r="F59" s="8"/>
      <x:c r="G59" s="9"/>
      <x:c r="H59" s="8"/>
      <x:c r="I59" s="8"/>
      <x:c r="J59" s="9"/>
      <x:c r="K59" s="8"/>
      <x:c r="L59" s="9"/>
      <x:c r="M59" s="8">
        <x:v>30000</x:v>
      </x:c>
      <x:c r="N59" s="8">
        <x:f>MIN(D59,F59,H59,I59,K59,M59)</x:f>
        <x:v>30000</x:v>
      </x:c>
      <x:c r="O59" s="11" t="s">
        <x:v>324</x:v>
      </x:c>
    </x:row>
    <x:row r="60" spans="1:15" ht="23.100000000000001" customHeight="1">
      <x:c r="A60" s="6" t="s">
        <x:v>12</x:v>
      </x:c>
      <x:c r="B60" s="6" t="s">
        <x:v>327</x:v>
      </x:c>
      <x:c r="C60" s="7" t="s">
        <x:v>168</x:v>
      </x:c>
      <x:c r="D60" s="8"/>
      <x:c r="E60" s="9"/>
      <x:c r="F60" s="8"/>
      <x:c r="G60" s="9"/>
      <x:c r="H60" s="8"/>
      <x:c r="I60" s="8"/>
      <x:c r="J60" s="9"/>
      <x:c r="K60" s="8"/>
      <x:c r="L60" s="9"/>
      <x:c r="M60" s="8">
        <x:v>544000</x:v>
      </x:c>
      <x:c r="N60" s="8">
        <x:f>MIN(D60,F60,H60,I60,K60,M60)</x:f>
        <x:v>544000</x:v>
      </x:c>
      <x:c r="O60" s="11" t="s">
        <x:v>324</x:v>
      </x:c>
    </x:row>
    <x:row r="61" spans="1:15" ht="23.100000000000001" customHeight="1">
      <x:c r="A61" s="6" t="s">
        <x:v>185</x:v>
      </x:c>
      <x:c r="B61" s="6" t="s">
        <x:v>220</x:v>
      </x:c>
      <x:c r="C61" s="7" t="s">
        <x:v>184</x:v>
      </x:c>
      <x:c r="D61" s="12">
        <x:v>61.299999999999997</x:v>
      </x:c>
      <x:c r="E61" s="10" t="s">
        <x:v>308</x:v>
      </x:c>
      <x:c r="F61" s="12"/>
      <x:c r="G61" s="9"/>
      <x:c r="H61" s="12"/>
      <x:c r="I61" s="12"/>
      <x:c r="J61" s="9"/>
      <x:c r="K61" s="12"/>
      <x:c r="L61" s="9"/>
      <x:c r="M61" s="12"/>
      <x:c r="N61" s="12">
        <x:f>MIN(D61,F61,H61,I61,K61,M61)</x:f>
        <x:v>61.299999999999997</x:v>
      </x:c>
      <x:c r="O61" s="11" t="s">
        <x:v>220</x:v>
      </x:c>
    </x:row>
    <x:row r="62" spans="1:15" ht="23.100000000000001" customHeight="1">
      <x:c r="A62" s="6" t="s">
        <x:v>14</x:v>
      </x:c>
      <x:c r="B62" s="6" t="s">
        <x:v>328</x:v>
      </x:c>
      <x:c r="C62" s="7" t="s">
        <x:v>215</x:v>
      </x:c>
      <x:c r="D62" s="8">
        <x:v>27351</x:v>
      </x:c>
      <x:c r="E62" s="10" t="s">
        <x:v>329</x:v>
      </x:c>
      <x:c r="F62" s="8">
        <x:v>27731</x:v>
      </x:c>
      <x:c r="G62" s="10" t="s">
        <x:v>330</x:v>
      </x:c>
      <x:c r="H62" s="8"/>
      <x:c r="I62" s="8"/>
      <x:c r="J62" s="9"/>
      <x:c r="K62" s="8"/>
      <x:c r="L62" s="9"/>
      <x:c r="M62" s="8"/>
      <x:c r="N62" s="8">
        <x:f>MIN(D62,F62,H62,I62,K62,M62)</x:f>
        <x:v>27351</x:v>
      </x:c>
      <x:c r="O62" s="11" t="s">
        <x:v>220</x:v>
      </x:c>
    </x:row>
    <x:row r="63" spans="1:15" ht="23.100000000000001" customHeight="1">
      <x:c r="A63" s="6" t="s">
        <x:v>14</x:v>
      </x:c>
      <x:c r="B63" s="6" t="s">
        <x:v>335</x:v>
      </x:c>
      <x:c r="C63" s="7" t="s">
        <x:v>215</x:v>
      </x:c>
      <x:c r="D63" s="8">
        <x:v>18065</x:v>
      </x:c>
      <x:c r="E63" s="10" t="s">
        <x:v>329</x:v>
      </x:c>
      <x:c r="F63" s="8">
        <x:v>18244</x:v>
      </x:c>
      <x:c r="G63" s="10" t="s">
        <x:v>330</x:v>
      </x:c>
      <x:c r="H63" s="8"/>
      <x:c r="I63" s="8"/>
      <x:c r="J63" s="9"/>
      <x:c r="K63" s="8"/>
      <x:c r="L63" s="9"/>
      <x:c r="M63" s="8"/>
      <x:c r="N63" s="8">
        <x:f>MIN(D63,F63,H63,I63,K63,M63)</x:f>
        <x:v>18065</x:v>
      </x:c>
      <x:c r="O63" s="11" t="s">
        <x:v>220</x:v>
      </x:c>
    </x:row>
    <x:row r="64" spans="1:15" ht="23.100000000000001" customHeight="1">
      <x:c r="A64" s="13"/>
      <x:c r="B64" s="13"/>
      <x:c r="C64" s="14"/>
      <x:c r="D64" s="9"/>
      <x:c r="E64" s="9"/>
      <x:c r="F64" s="9"/>
      <x:c r="G64" s="9"/>
      <x:c r="H64" s="9"/>
      <x:c r="I64" s="9"/>
      <x:c r="J64" s="9"/>
      <x:c r="K64" s="9"/>
      <x:c r="L64" s="9"/>
      <x:c r="M64" s="9"/>
      <x:c r="N64" s="9"/>
      <x:c r="O64" s="15"/>
    </x:row>
    <x:row r="65" spans="1:15" ht="23.100000000000001" customHeight="1">
      <x:c r="A65" s="13"/>
      <x:c r="B65" s="13"/>
      <x:c r="C65" s="14"/>
      <x:c r="D65" s="9"/>
      <x:c r="E65" s="9"/>
      <x:c r="F65" s="9"/>
      <x:c r="G65" s="9"/>
      <x:c r="H65" s="9"/>
      <x:c r="I65" s="9"/>
      <x:c r="J65" s="9"/>
      <x:c r="K65" s="9"/>
      <x:c r="L65" s="9"/>
      <x:c r="M65" s="9"/>
      <x:c r="N65" s="9"/>
      <x:c r="O65" s="15"/>
    </x:row>
    <x:row r="66" spans="1:15" ht="23.100000000000001" customHeight="1">
      <x:c r="A66" s="13"/>
      <x:c r="B66" s="13"/>
      <x:c r="C66" s="14"/>
      <x:c r="D66" s="9"/>
      <x:c r="E66" s="9"/>
      <x:c r="F66" s="9"/>
      <x:c r="G66" s="9"/>
      <x:c r="H66" s="9"/>
      <x:c r="I66" s="9"/>
      <x:c r="J66" s="9"/>
      <x:c r="K66" s="9"/>
      <x:c r="L66" s="9"/>
      <x:c r="M66" s="9"/>
      <x:c r="N66" s="9"/>
      <x:c r="O66" s="15"/>
    </x:row>
    <x:row r="67" spans="1:15" ht="23.100000000000001" customHeight="1">
      <x:c r="A67" s="13"/>
      <x:c r="B67" s="13"/>
      <x:c r="C67" s="14"/>
      <x:c r="D67" s="9"/>
      <x:c r="E67" s="9"/>
      <x:c r="F67" s="9"/>
      <x:c r="G67" s="9"/>
      <x:c r="H67" s="9"/>
      <x:c r="I67" s="9"/>
      <x:c r="J67" s="9"/>
      <x:c r="K67" s="9"/>
      <x:c r="L67" s="9"/>
      <x:c r="M67" s="9"/>
      <x:c r="N67" s="9"/>
      <x:c r="O67" s="15"/>
    </x:row>
    <x:row r="68" spans="1:15" ht="23.100000000000001" customHeight="1">
      <x:c r="A68" s="13"/>
      <x:c r="B68" s="13"/>
      <x:c r="C68" s="14"/>
      <x:c r="D68" s="9"/>
      <x:c r="E68" s="9"/>
      <x:c r="F68" s="9"/>
      <x:c r="G68" s="9"/>
      <x:c r="H68" s="9"/>
      <x:c r="I68" s="9"/>
      <x:c r="J68" s="9"/>
      <x:c r="K68" s="9"/>
      <x:c r="L68" s="9"/>
      <x:c r="M68" s="9"/>
      <x:c r="N68" s="9"/>
      <x:c r="O68" s="15"/>
    </x:row>
  </x:sheetData>
  <x:mergeCells count="11">
    <x:mergeCell ref="K3:L3"/>
    <x:mergeCell ref="A1:O1"/>
    <x:mergeCell ref="A2:O2"/>
    <x:mergeCell ref="A3:A4"/>
    <x:mergeCell ref="B3:B4"/>
    <x:mergeCell ref="C3:C4"/>
    <x:mergeCell ref="N3:N4"/>
    <x:mergeCell ref="O3:O4"/>
    <x:mergeCell ref="D3:E3"/>
    <x:mergeCell ref="F3:G3"/>
    <x:mergeCell ref="I3:J3"/>
  </x:mergeCells>
  <x:pageMargins left="0.74541664123535156" right="0" top="0.69444441795349121" bottom="0.1388888955116272" header="0.30000001192092896" footer="0.1388888955116272"/>
  <x:pageSetup paperSize="9" scale="100" firstPageNumber="1" fitToWidth="1" fitToHeight="1" orientation="landscape" usePrinterDefaults="1" blackAndWhite="0" draft="0" useFirstPageNumber="0" horizontalDpi="600" verticalDpi="600" copies="1"/>
  <x:rowBreaks count="4" manualBreakCount="4">
    <x:brk id="20" min="0" max="1048575" man="1" pt="0"/>
    <x:brk id="36" min="0" max="1048575" man="1" pt="0"/>
    <x:brk id="52" min="0" max="1048575" man="1" pt="0"/>
    <x:brk id="68" min="0" max="1048575" man="1" pt="0"/>
  </x:row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>
    <x:tabColor rgb="ffffff66"/>
  </x:sheetPr>
  <x:dimension ref="A1:L13"/>
  <x:sheetViews>
    <x:sheetView topLeftCell="A1" zoomScaleNormal="100" workbookViewId="0">
      <x:selection activeCell="C13" activeCellId="0" sqref="C13:J13"/>
    </x:sheetView>
  </x:sheetViews>
  <x:sheetFormatPr defaultColWidth="9.00390625" defaultRowHeight="19.149999999999999"/>
  <x:cols>
    <x:col min="1" max="16384" width="9" style="84"/>
  </x:cols>
  <x:sheetData>
    <x:row r="1" spans="1:12" ht="32.5">
      <x:c r="A1" s="118" t="s">
        <x:v>233</x:v>
      </x:c>
      <x:c r="B1" s="118"/>
      <x:c r="C1" s="118"/>
      <x:c r="D1" s="118"/>
      <x:c r="E1" s="118"/>
      <x:c r="F1" s="118"/>
      <x:c r="G1" s="118"/>
      <x:c r="H1" s="118"/>
      <x:c r="I1" s="118"/>
      <x:c r="J1" s="118"/>
      <x:c r="K1" s="118"/>
      <x:c r="L1" s="118"/>
    </x:row>
    <x:row r="5" spans="3:10">
      <x:c r="C5" s="117" t="s">
        <x:v>226</x:v>
      </x:c>
      <x:c r="D5" s="117"/>
      <x:c r="E5" s="117"/>
      <x:c r="F5" s="117"/>
      <x:c r="G5" s="117"/>
      <x:c r="H5" s="117"/>
      <x:c r="I5" s="117"/>
      <x:c r="J5" s="117"/>
    </x:row>
    <x:row r="7" spans="3:10">
      <x:c r="C7" s="117" t="s">
        <x:v>84</x:v>
      </x:c>
      <x:c r="D7" s="117"/>
      <x:c r="E7" s="117"/>
      <x:c r="F7" s="117"/>
      <x:c r="G7" s="117"/>
      <x:c r="H7" s="117"/>
      <x:c r="I7" s="117"/>
      <x:c r="J7" s="117"/>
    </x:row>
    <x:row r="9" spans="3:10">
      <x:c r="C9" s="117" t="s">
        <x:v>431</x:v>
      </x:c>
      <x:c r="D9" s="117"/>
      <x:c r="E9" s="117"/>
      <x:c r="F9" s="117"/>
      <x:c r="G9" s="117"/>
      <x:c r="H9" s="117"/>
      <x:c r="I9" s="117"/>
      <x:c r="J9" s="117"/>
    </x:row>
    <x:row r="11" spans="3:10">
      <x:c r="C11" s="117" t="s">
        <x:v>429</x:v>
      </x:c>
      <x:c r="D11" s="117"/>
      <x:c r="E11" s="117"/>
      <x:c r="F11" s="117"/>
      <x:c r="G11" s="117"/>
      <x:c r="H11" s="117"/>
      <x:c r="I11" s="117"/>
      <x:c r="J11" s="117"/>
    </x:row>
    <x:row r="13" spans="3:10">
      <x:c r="C13" s="117" t="s">
        <x:v>432</x:v>
      </x:c>
      <x:c r="D13" s="117"/>
      <x:c r="E13" s="117"/>
      <x:c r="F13" s="117"/>
      <x:c r="G13" s="117"/>
      <x:c r="H13" s="117"/>
      <x:c r="I13" s="117"/>
      <x:c r="J13" s="117"/>
    </x:row>
  </x:sheetData>
  <x:mergeCells count="6">
    <x:mergeCell ref="C13:J13"/>
    <x:mergeCell ref="A1:L1"/>
    <x:mergeCell ref="C5:J5"/>
    <x:mergeCell ref="C7:J7"/>
    <x:mergeCell ref="C9:J9"/>
    <x:mergeCell ref="C11:J11"/>
  </x:mergeCells>
  <x:pageMargins left="0.78736108541488647" right="0" top="1.9684722423553467" bottom="0.39361110329627991" header="0" footer="0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>
    <x:tabColor rgb="ffe6b8b7"/>
  </x:sheetPr>
  <x:dimension ref="A1:L33"/>
  <x:sheetViews>
    <x:sheetView topLeftCell="A1" zoomScaleNormal="100" workbookViewId="0">
      <x:selection activeCell="C13" activeCellId="0" sqref="C13:J13"/>
    </x:sheetView>
  </x:sheetViews>
  <x:sheetFormatPr defaultColWidth="9.00390625" defaultRowHeight="10.550000000000001"/>
  <x:cols>
    <x:col min="1" max="2" width="20.625" style="16" customWidth="1"/>
    <x:col min="3" max="3" width="6" style="16" customWidth="1"/>
    <x:col min="4" max="4" width="10.625" style="16" customWidth="1"/>
    <x:col min="5" max="5" width="4.625" style="16" customWidth="1"/>
    <x:col min="6" max="6" width="8.625" style="16" customWidth="1"/>
    <x:col min="7" max="7" width="10.625" style="16" customWidth="1"/>
    <x:col min="8" max="8" width="4.625" style="16" customWidth="1"/>
    <x:col min="9" max="9" width="8.625" style="16" customWidth="1"/>
    <x:col min="10" max="10" width="6" style="16" customWidth="1"/>
    <x:col min="11" max="11" width="10.625" style="16" customWidth="1"/>
    <x:col min="12" max="12" width="7.25" style="16" customWidth="1"/>
    <x:col min="13" max="17" width="1.625" style="16" customWidth="1"/>
    <x:col min="18" max="16384" width="9" style="16"/>
  </x:cols>
  <x:sheetData>
    <x:row r="1" spans="1:12" ht="25.25">
      <x:c r="A1" s="120" t="s">
        <x:v>430</x:v>
      </x:c>
      <x:c r="B1" s="120"/>
      <x:c r="C1" s="120"/>
      <x:c r="D1" s="120"/>
      <x:c r="E1" s="120"/>
      <x:c r="F1" s="120"/>
      <x:c r="G1" s="120"/>
      <x:c r="H1" s="120"/>
      <x:c r="I1" s="120"/>
      <x:c r="J1" s="120"/>
      <x:c r="K1" s="120"/>
      <x:c r="L1" s="120"/>
    </x:row>
    <x:row r="2" spans="1:1" ht="15.75" customHeight="1">
      <x:c r="A2" s="16" t="s">
        <x:v>470</x:v>
      </x:c>
    </x:row>
    <x:row r="3" spans="1:12" ht="15.75" customHeight="1">
      <x:c r="A3" s="85" t="s">
        <x:v>116</x:v>
      </x:c>
      <x:c r="B3" s="85" t="s">
        <x:v>115</x:v>
      </x:c>
      <x:c r="C3" s="85" t="s">
        <x:v>434</x:v>
      </x:c>
      <x:c r="D3" s="85" t="s">
        <x:v>433</x:v>
      </x:c>
      <x:c r="E3" s="85" t="s">
        <x:v>113</x:v>
      </x:c>
      <x:c r="F3" s="85" t="s">
        <x:v>114</x:v>
      </x:c>
      <x:c r="G3" s="85" t="s">
        <x:v>436</x:v>
      </x:c>
      <x:c r="H3" s="85" t="s">
        <x:v>112</x:v>
      </x:c>
      <x:c r="I3" s="85" t="s">
        <x:v>435</x:v>
      </x:c>
      <x:c r="J3" s="85" t="s">
        <x:v>438</x:v>
      </x:c>
      <x:c r="K3" s="85" t="s">
        <x:v>437</x:v>
      </x:c>
      <x:c r="L3" s="85" t="s">
        <x:v>148</x:v>
      </x:c>
    </x:row>
    <x:row r="4" spans="1:12" ht="15.75" customHeight="1">
      <x:c r="A4" s="119" t="s">
        <x:v>85</x:v>
      </x:c>
      <x:c r="B4" s="119"/>
      <x:c r="C4" s="119"/>
      <x:c r="D4" s="119"/>
      <x:c r="E4" s="119"/>
      <x:c r="F4" s="119"/>
      <x:c r="G4" s="119"/>
      <x:c r="H4" s="119"/>
      <x:c r="I4" s="119"/>
      <x:c r="J4" s="119"/>
      <x:c r="K4" s="119"/>
      <x:c r="L4" s="119"/>
    </x:row>
    <x:row r="5" spans="1:12" ht="15.75" customHeight="1">
      <x:c r="A5" s="86" t="s">
        <x:v>387</x:v>
      </x:c>
      <x:c r="B5" s="86" t="s">
        <x:v>47</x:v>
      </x:c>
      <x:c r="C5" s="86" t="s">
        <x:v>100</x:v>
      </x:c>
      <x:c r="D5" s="86">
        <x:v>162.571</x:v>
      </x:c>
      <x:c r="E5" s="86"/>
      <x:c r="F5" s="86">
        <x:v>0</x:v>
      </x:c>
      <x:c r="G5" s="86">
        <x:v>0</x:v>
      </x:c>
      <x:c r="H5" s="86">
        <x:v>0</x:v>
      </x:c>
      <x:c r="I5" s="86"/>
      <x:c r="J5" s="86" t="s">
        <x:v>100</x:v>
      </x:c>
      <x:c r="K5" s="86">
        <x:v>163</x:v>
      </x:c>
      <x:c r="L5" s="86"/>
    </x:row>
    <x:row r="6" spans="1:12" ht="15.75" customHeight="1">
      <x:c r="A6" s="86" t="s">
        <x:v>385</x:v>
      </x:c>
      <x:c r="B6" s="86" t="s">
        <x:v>360</x:v>
      </x:c>
      <x:c r="C6" s="86" t="s">
        <x:v>100</x:v>
      </x:c>
      <x:c r="D6" s="86">
        <x:v>28.149999999999999</x:v>
      </x:c>
      <x:c r="E6" s="86"/>
      <x:c r="F6" s="86">
        <x:v>0</x:v>
      </x:c>
      <x:c r="G6" s="86">
        <x:v>0</x:v>
      </x:c>
      <x:c r="H6" s="86">
        <x:v>0</x:v>
      </x:c>
      <x:c r="I6" s="86"/>
      <x:c r="J6" s="86" t="s">
        <x:v>100</x:v>
      </x:c>
      <x:c r="K6" s="86">
        <x:v>28</x:v>
      </x:c>
      <x:c r="L6" s="86"/>
    </x:row>
    <x:row r="7" spans="1:12" ht="15.75" customHeight="1">
      <x:c r="A7" s="119" t="s">
        <x:v>86</x:v>
      </x:c>
      <x:c r="B7" s="119"/>
      <x:c r="C7" s="119"/>
      <x:c r="D7" s="119"/>
      <x:c r="E7" s="119"/>
      <x:c r="F7" s="119"/>
      <x:c r="G7" s="119"/>
      <x:c r="H7" s="119"/>
      <x:c r="I7" s="119"/>
      <x:c r="J7" s="119"/>
      <x:c r="K7" s="119"/>
      <x:c r="L7" s="119"/>
    </x:row>
    <x:row r="8" spans="1:12" ht="15.75" customHeight="1">
      <x:c r="A8" s="86" t="s">
        <x:v>389</x:v>
      </x:c>
      <x:c r="B8" s="86" t="s">
        <x:v>154</x:v>
      </x:c>
      <x:c r="C8" s="86" t="s">
        <x:v>100</x:v>
      </x:c>
      <x:c r="D8" s="86">
        <x:v>3.6179999999999999</x:v>
      </x:c>
      <x:c r="E8" s="86"/>
      <x:c r="F8" s="86">
        <x:v>0</x:v>
      </x:c>
      <x:c r="G8" s="86">
        <x:v>0</x:v>
      </x:c>
      <x:c r="H8" s="86">
        <x:v>0</x:v>
      </x:c>
      <x:c r="I8" s="86"/>
      <x:c r="J8" s="86" t="s">
        <x:v>100</x:v>
      </x:c>
      <x:c r="K8" s="86">
        <x:v>4</x:v>
      </x:c>
      <x:c r="L8" s="86"/>
    </x:row>
    <x:row r="9" spans="1:12" ht="15.75" customHeight="1">
      <x:c r="A9" s="86" t="s">
        <x:v>69</x:v>
      </x:c>
      <x:c r="B9" s="86" t="s">
        <x:v>365</x:v>
      </x:c>
      <x:c r="C9" s="86" t="s">
        <x:v>100</x:v>
      </x:c>
      <x:c r="D9" s="86">
        <x:v>0.40200000000000002</x:v>
      </x:c>
      <x:c r="E9" s="86"/>
      <x:c r="F9" s="86">
        <x:v>0</x:v>
      </x:c>
      <x:c r="G9" s="86">
        <x:v>0</x:v>
      </x:c>
      <x:c r="H9" s="86">
        <x:v>0</x:v>
      </x:c>
      <x:c r="I9" s="86"/>
      <x:c r="J9" s="86" t="s">
        <x:v>100</x:v>
      </x:c>
      <x:c r="K9" s="86">
        <x:v>0.40000000000000002</x:v>
      </x:c>
      <x:c r="L9" s="86"/>
    </x:row>
    <x:row r="10" spans="1:12" ht="15.75" customHeight="1">
      <x:c r="A10" s="86" t="s">
        <x:v>502</x:v>
      </x:c>
      <x:c r="B10" s="86" t="s">
        <x:v>368</x:v>
      </x:c>
      <x:c r="C10" s="86" t="s">
        <x:v>216</x:v>
      </x:c>
      <x:c r="D10" s="86">
        <x:v>1</x:v>
      </x:c>
      <x:c r="E10" s="86"/>
      <x:c r="F10" s="86">
        <x:v>0</x:v>
      </x:c>
      <x:c r="G10" s="86">
        <x:v>0</x:v>
      </x:c>
      <x:c r="H10" s="86">
        <x:v>0</x:v>
      </x:c>
      <x:c r="I10" s="86"/>
      <x:c r="J10" s="86" t="s">
        <x:v>216</x:v>
      </x:c>
      <x:c r="K10" s="86">
        <x:v>1</x:v>
      </x:c>
      <x:c r="L10" s="86"/>
    </x:row>
    <x:row r="11" spans="1:12" ht="15.75" customHeight="1">
      <x:c r="A11" s="86" t="s">
        <x:v>393</x:v>
      </x:c>
      <x:c r="B11" s="86" t="s">
        <x:v>57</x:v>
      </x:c>
      <x:c r="C11" s="86" t="s">
        <x:v>100</x:v>
      </x:c>
      <x:c r="D11" s="86">
        <x:v>1.522</x:v>
      </x:c>
      <x:c r="E11" s="86"/>
      <x:c r="F11" s="86"/>
      <x:c r="G11" s="86">
        <x:v>0</x:v>
      </x:c>
      <x:c r="H11" s="86"/>
      <x:c r="I11" s="86"/>
      <x:c r="J11" s="86" t="s">
        <x:v>100</x:v>
      </x:c>
      <x:c r="K11" s="86">
        <x:v>2</x:v>
      </x:c>
      <x:c r="L11" s="86"/>
    </x:row>
    <x:row r="12" spans="1:12" ht="15.75" customHeight="1">
      <x:c r="A12" s="119" t="s">
        <x:v>87</x:v>
      </x:c>
      <x:c r="B12" s="119"/>
      <x:c r="C12" s="119"/>
      <x:c r="D12" s="119"/>
      <x:c r="E12" s="119"/>
      <x:c r="F12" s="119"/>
      <x:c r="G12" s="119"/>
      <x:c r="H12" s="119"/>
      <x:c r="I12" s="119"/>
      <x:c r="J12" s="119"/>
      <x:c r="K12" s="119"/>
      <x:c r="L12" s="119"/>
    </x:row>
    <x:row r="13" spans="1:12" ht="15.75" customHeight="1">
      <x:c r="A13" s="86" t="s">
        <x:v>239</x:v>
      </x:c>
      <x:c r="B13" s="86" t="s">
        <x:v>59</x:v>
      </x:c>
      <x:c r="C13" s="86" t="s">
        <x:v>100</x:v>
      </x:c>
      <x:c r="D13" s="86">
        <x:v>182.32100000000003</x:v>
      </x:c>
      <x:c r="E13" s="86"/>
      <x:c r="F13" s="86">
        <x:v>0</x:v>
      </x:c>
      <x:c r="G13" s="86">
        <x:v>0</x:v>
      </x:c>
      <x:c r="H13" s="86">
        <x:v>0</x:v>
      </x:c>
      <x:c r="I13" s="86"/>
      <x:c r="J13" s="86" t="s">
        <x:v>100</x:v>
      </x:c>
      <x:c r="K13" s="86">
        <x:v>182</x:v>
      </x:c>
      <x:c r="L13" s="86"/>
    </x:row>
    <x:row r="14" spans="1:12" ht="15.75" customHeight="1">
      <x:c r="A14" s="86" t="s">
        <x:v>398</x:v>
      </x:c>
      <x:c r="B14" s="86" t="s">
        <x:v>246</x:v>
      </x:c>
      <x:c r="C14" s="86" t="s">
        <x:v>100</x:v>
      </x:c>
      <x:c r="D14" s="86">
        <x:v>5.04</x:v>
      </x:c>
      <x:c r="E14" s="86"/>
      <x:c r="F14" s="86">
        <x:v>0</x:v>
      </x:c>
      <x:c r="G14" s="86">
        <x:v>0</x:v>
      </x:c>
      <x:c r="H14" s="86">
        <x:v>0</x:v>
      </x:c>
      <x:c r="I14" s="86"/>
      <x:c r="J14" s="86" t="s">
        <x:v>100</x:v>
      </x:c>
      <x:c r="K14" s="86">
        <x:v>5</x:v>
      </x:c>
      <x:c r="L14" s="86"/>
    </x:row>
    <x:row r="15" spans="1:12" ht="15.75" customHeight="1">
      <x:c r="A15" s="86" t="s">
        <x:v>400</x:v>
      </x:c>
      <x:c r="B15" s="86"/>
      <x:c r="C15" s="86" t="s">
        <x:v>100</x:v>
      </x:c>
      <x:c r="D15" s="86">
        <x:v>10.382999999999999</x:v>
      </x:c>
      <x:c r="E15" s="86"/>
      <x:c r="F15" s="86">
        <x:v>0</x:v>
      </x:c>
      <x:c r="G15" s="86">
        <x:v>0</x:v>
      </x:c>
      <x:c r="H15" s="86">
        <x:v>0</x:v>
      </x:c>
      <x:c r="I15" s="86"/>
      <x:c r="J15" s="86" t="s">
        <x:v>100</x:v>
      </x:c>
      <x:c r="K15" s="86">
        <x:v>10</x:v>
      </x:c>
      <x:c r="L15" s="86"/>
    </x:row>
    <x:row r="16" spans="1:12" ht="15.75" customHeight="1">
      <x:c r="A16" s="119" t="s">
        <x:v>88</x:v>
      </x:c>
      <x:c r="B16" s="119"/>
      <x:c r="C16" s="119"/>
      <x:c r="D16" s="119"/>
      <x:c r="E16" s="119"/>
      <x:c r="F16" s="119"/>
      <x:c r="G16" s="119"/>
      <x:c r="H16" s="119"/>
      <x:c r="I16" s="119"/>
      <x:c r="J16" s="119"/>
      <x:c r="K16" s="119"/>
      <x:c r="L16" s="119"/>
    </x:row>
    <x:row r="17" spans="1:12" ht="15.75" customHeight="1">
      <x:c r="A17" s="86" t="s">
        <x:v>402</x:v>
      </x:c>
      <x:c r="B17" s="86" t="s">
        <x:v>377</x:v>
      </x:c>
      <x:c r="C17" s="86" t="s">
        <x:v>100</x:v>
      </x:c>
      <x:c r="D17" s="86">
        <x:v>5.04</x:v>
      </x:c>
      <x:c r="E17" s="86"/>
      <x:c r="F17" s="86">
        <x:v>0</x:v>
      </x:c>
      <x:c r="G17" s="86">
        <x:v>0</x:v>
      </x:c>
      <x:c r="H17" s="86">
        <x:v>0</x:v>
      </x:c>
      <x:c r="I17" s="86"/>
      <x:c r="J17" s="86" t="s">
        <x:v>100</x:v>
      </x:c>
      <x:c r="K17" s="86">
        <x:v>5</x:v>
      </x:c>
      <x:c r="L17" s="86"/>
    </x:row>
    <x:row r="18" spans="1:12" ht="15.75" customHeight="1">
      <x:c r="A18" s="86" t="s">
        <x:v>504</x:v>
      </x:c>
      <x:c r="B18" s="86"/>
      <x:c r="C18" s="86" t="s">
        <x:v>216</x:v>
      </x:c>
      <x:c r="D18" s="86">
        <x:v>1</x:v>
      </x:c>
      <x:c r="E18" s="86"/>
      <x:c r="F18" s="86">
        <x:v>0</x:v>
      </x:c>
      <x:c r="G18" s="86">
        <x:v>0</x:v>
      </x:c>
      <x:c r="H18" s="86">
        <x:v>0</x:v>
      </x:c>
      <x:c r="I18" s="86"/>
      <x:c r="J18" s="86" t="s">
        <x:v>216</x:v>
      </x:c>
      <x:c r="K18" s="86">
        <x:v>1</x:v>
      </x:c>
      <x:c r="L18" s="86"/>
    </x:row>
    <x:row r="19" spans="1:12" ht="15.75" customHeight="1">
      <x:c r="A19" s="86" t="s">
        <x:v>406</x:v>
      </x:c>
      <x:c r="B19" s="86"/>
      <x:c r="C19" s="86" t="s">
        <x:v>100</x:v>
      </x:c>
      <x:c r="D19" s="86">
        <x:v>15.504</x:v>
      </x:c>
      <x:c r="E19" s="86"/>
      <x:c r="F19" s="86">
        <x:v>0</x:v>
      </x:c>
      <x:c r="G19" s="86">
        <x:v>0</x:v>
      </x:c>
      <x:c r="H19" s="86">
        <x:v>0</x:v>
      </x:c>
      <x:c r="I19" s="86"/>
      <x:c r="J19" s="86" t="s">
        <x:v>100</x:v>
      </x:c>
      <x:c r="K19" s="86">
        <x:v>16</x:v>
      </x:c>
      <x:c r="L19" s="86"/>
    </x:row>
    <x:row r="20" spans="1:12" ht="15.75" customHeight="1">
      <x:c r="A20" s="86" t="s">
        <x:v>503</x:v>
      </x:c>
      <x:c r="B20" s="86" t="s">
        <x:v>63</x:v>
      </x:c>
      <x:c r="C20" s="86" t="s">
        <x:v>218</x:v>
      </x:c>
      <x:c r="D20" s="86">
        <x:v>7.3499999999999996</x:v>
      </x:c>
      <x:c r="E20" s="86"/>
      <x:c r="F20" s="86">
        <x:v>0</x:v>
      </x:c>
      <x:c r="G20" s="86">
        <x:v>0</x:v>
      </x:c>
      <x:c r="H20" s="86">
        <x:v>0</x:v>
      </x:c>
      <x:c r="I20" s="86"/>
      <x:c r="J20" s="86" t="s">
        <x:v>218</x:v>
      </x:c>
      <x:c r="K20" s="86">
        <x:v>7</x:v>
      </x:c>
      <x:c r="L20" s="86"/>
    </x:row>
    <x:row r="21" spans="1:12" ht="15.75" customHeight="1">
      <x:c r="A21" s="86" t="s">
        <x:v>500</x:v>
      </x:c>
      <x:c r="B21" s="86" t="s">
        <x:v>505</x:v>
      </x:c>
      <x:c r="C21" s="86" t="s">
        <x:v>216</x:v>
      </x:c>
      <x:c r="D21" s="86">
        <x:v>1</x:v>
      </x:c>
      <x:c r="E21" s="86"/>
      <x:c r="F21" s="86">
        <x:v>0</x:v>
      </x:c>
      <x:c r="G21" s="86">
        <x:v>0</x:v>
      </x:c>
      <x:c r="H21" s="86">
        <x:v>0</x:v>
      </x:c>
      <x:c r="I21" s="86"/>
      <x:c r="J21" s="86" t="s">
        <x:v>216</x:v>
      </x:c>
      <x:c r="K21" s="86">
        <x:v>1</x:v>
      </x:c>
      <x:c r="L21" s="86"/>
    </x:row>
    <x:row r="22" spans="1:12" ht="15.75" customHeight="1">
      <x:c r="A22" s="86" t="s">
        <x:v>71</x:v>
      </x:c>
      <x:c r="B22" s="86"/>
      <x:c r="C22" s="86" t="s">
        <x:v>216</x:v>
      </x:c>
      <x:c r="D22" s="86">
        <x:v>2</x:v>
      </x:c>
      <x:c r="E22" s="86"/>
      <x:c r="F22" s="86">
        <x:v>0</x:v>
      </x:c>
      <x:c r="G22" s="86">
        <x:v>0</x:v>
      </x:c>
      <x:c r="H22" s="86">
        <x:v>0</x:v>
      </x:c>
      <x:c r="I22" s="86"/>
      <x:c r="J22" s="86" t="s">
        <x:v>216</x:v>
      </x:c>
      <x:c r="K22" s="86">
        <x:v>2</x:v>
      </x:c>
      <x:c r="L22" s="86"/>
    </x:row>
    <x:row r="23" spans="1:12" ht="15.75" customHeight="1">
      <x:c r="A23" s="86" t="s">
        <x:v>72</x:v>
      </x:c>
      <x:c r="B23" s="86"/>
      <x:c r="C23" s="86" t="s">
        <x:v>216</x:v>
      </x:c>
      <x:c r="D23" s="86">
        <x:v>1</x:v>
      </x:c>
      <x:c r="E23" s="86"/>
      <x:c r="F23" s="86">
        <x:v>0</x:v>
      </x:c>
      <x:c r="G23" s="86">
        <x:v>0</x:v>
      </x:c>
      <x:c r="H23" s="86">
        <x:v>0</x:v>
      </x:c>
      <x:c r="I23" s="86"/>
      <x:c r="J23" s="86" t="s">
        <x:v>216</x:v>
      </x:c>
      <x:c r="K23" s="86">
        <x:v>1</x:v>
      </x:c>
      <x:c r="L23" s="86"/>
    </x:row>
    <x:row r="24" spans="1:12" ht="15.75" customHeight="1">
      <x:c r="A24" s="119" t="s">
        <x:v>89</x:v>
      </x:c>
      <x:c r="B24" s="119"/>
      <x:c r="C24" s="119"/>
      <x:c r="D24" s="119"/>
      <x:c r="E24" s="119"/>
      <x:c r="F24" s="119"/>
      <x:c r="G24" s="119"/>
      <x:c r="H24" s="119"/>
      <x:c r="I24" s="119"/>
      <x:c r="J24" s="119"/>
      <x:c r="K24" s="119"/>
      <x:c r="L24" s="119"/>
    </x:row>
    <x:row r="25" spans="1:12" ht="15.75" customHeight="1">
      <x:c r="A25" s="86" t="s">
        <x:v>14</x:v>
      </x:c>
      <x:c r="B25" s="86" t="s">
        <x:v>335</x:v>
      </x:c>
      <x:c r="C25" s="86" t="s">
        <x:v>215</x:v>
      </x:c>
      <x:c r="D25" s="86">
        <x:v>0.013</x:v>
      </x:c>
      <x:c r="E25" s="86"/>
      <x:c r="F25" s="86">
        <x:v>0</x:v>
      </x:c>
      <x:c r="G25" s="86">
        <x:v>0</x:v>
      </x:c>
      <x:c r="H25" s="86">
        <x:v>0</x:v>
      </x:c>
      <x:c r="I25" s="86"/>
      <x:c r="J25" s="86" t="s">
        <x:v>215</x:v>
      </x:c>
      <x:c r="K25" s="86">
        <x:v>0.010000000000000001</x:v>
      </x:c>
      <x:c r="L25" s="86"/>
    </x:row>
    <x:row r="26" spans="1:12" ht="15.75" customHeight="1">
      <x:c r="A26" s="86" t="s">
        <x:v>14</x:v>
      </x:c>
      <x:c r="B26" s="86" t="s">
        <x:v>328</x:v>
      </x:c>
      <x:c r="C26" s="86" t="s">
        <x:v>215</x:v>
      </x:c>
      <x:c r="D26" s="86">
        <x:v>1.038</x:v>
      </x:c>
      <x:c r="E26" s="86"/>
      <x:c r="F26" s="86">
        <x:v>0</x:v>
      </x:c>
      <x:c r="G26" s="86">
        <x:v>0</x:v>
      </x:c>
      <x:c r="H26" s="86">
        <x:v>0</x:v>
      </x:c>
      <x:c r="I26" s="86"/>
      <x:c r="J26" s="86" t="s">
        <x:v>215</x:v>
      </x:c>
      <x:c r="K26" s="86">
        <x:v>1.04</x:v>
      </x:c>
      <x:c r="L26" s="86"/>
    </x:row>
    <x:row r="27" spans="1:12" ht="15.75" customHeight="1">
      <x:c r="A27" s="86" t="s">
        <x:v>535</x:v>
      </x:c>
      <x:c r="B27" s="86" t="s">
        <x:v>528</x:v>
      </x:c>
      <x:c r="C27" s="86" t="s">
        <x:v>169</x:v>
      </x:c>
      <x:c r="D27" s="86">
        <x:v>1.0509999999999999</x:v>
      </x:c>
      <x:c r="E27" s="86"/>
      <x:c r="F27" s="86">
        <x:v>0</x:v>
      </x:c>
      <x:c r="G27" s="86">
        <x:v>0</x:v>
      </x:c>
      <x:c r="H27" s="86">
        <x:v>0</x:v>
      </x:c>
      <x:c r="I27" s="86"/>
      <x:c r="J27" s="86" t="s">
        <x:v>169</x:v>
      </x:c>
      <x:c r="K27" s="86">
        <x:v>1.05</x:v>
      </x:c>
      <x:c r="L27" s="86"/>
    </x:row>
    <x:row r="28" spans="1:12" ht="15.75" customHeight="1">
      <x:c r="A28" s="86" t="s">
        <x:v>529</x:v>
      </x:c>
      <x:c r="B28" s="86" t="s">
        <x:v>244</x:v>
      </x:c>
      <x:c r="C28" s="86" t="s">
        <x:v>169</x:v>
      </x:c>
      <x:c r="D28" s="86">
        <x:v>1.0509999999999999</x:v>
      </x:c>
      <x:c r="E28" s="86"/>
      <x:c r="F28" s="86">
        <x:v>0</x:v>
      </x:c>
      <x:c r="G28" s="86">
        <x:v>0</x:v>
      </x:c>
      <x:c r="H28" s="86">
        <x:v>0</x:v>
      </x:c>
      <x:c r="I28" s="86"/>
      <x:c r="J28" s="86" t="s">
        <x:v>169</x:v>
      </x:c>
      <x:c r="K28" s="86">
        <x:v>1.05</x:v>
      </x:c>
      <x:c r="L28" s="86"/>
    </x:row>
    <x:row r="29" spans="1:12" ht="15.75" customHeight="1">
      <x:c r="A29" s="119" t="s">
        <x:v>440</x:v>
      </x:c>
      <x:c r="B29" s="119"/>
      <x:c r="C29" s="119"/>
      <x:c r="D29" s="119"/>
      <x:c r="E29" s="119"/>
      <x:c r="F29" s="119"/>
      <x:c r="G29" s="119"/>
      <x:c r="H29" s="119"/>
      <x:c r="I29" s="119"/>
      <x:c r="J29" s="119"/>
      <x:c r="K29" s="119"/>
      <x:c r="L29" s="119"/>
    </x:row>
    <x:row r="30" spans="1:12" ht="15.75" customHeight="1">
      <x:c r="A30" s="86" t="s">
        <x:v>217</x:v>
      </x:c>
      <x:c r="B30" s="86" t="s">
        <x:v>39</x:v>
      </x:c>
      <x:c r="C30" s="86" t="s">
        <x:v>215</x:v>
      </x:c>
      <x:c r="D30" s="86">
        <x:v>0.064000000000000001</x:v>
      </x:c>
      <x:c r="E30" s="86"/>
      <x:c r="F30" s="86">
        <x:v>0</x:v>
      </x:c>
      <x:c r="G30" s="86">
        <x:v>0</x:v>
      </x:c>
      <x:c r="H30" s="86">
        <x:v>0</x:v>
      </x:c>
      <x:c r="I30" s="86"/>
      <x:c r="J30" s="86" t="s">
        <x:v>215</x:v>
      </x:c>
      <x:c r="K30" s="86">
        <x:v>0.059999999999999998</x:v>
      </x:c>
      <x:c r="L30" s="86"/>
    </x:row>
    <x:row r="31" spans="1:12" ht="15.75" customHeight="1">
      <x:c r="A31" s="86"/>
      <x:c r="B31" s="86"/>
      <x:c r="C31" s="86"/>
      <x:c r="D31" s="86"/>
      <x:c r="E31" s="86"/>
      <x:c r="F31" s="86"/>
      <x:c r="G31" s="86"/>
      <x:c r="H31" s="86"/>
      <x:c r="I31" s="86"/>
      <x:c r="J31" s="86"/>
      <x:c r="K31" s="86"/>
      <x:c r="L31" s="86"/>
    </x:row>
    <x:row r="32" spans="1:12" ht="15.75" customHeight="1">
      <x:c r="A32" s="86"/>
      <x:c r="B32" s="86"/>
      <x:c r="C32" s="86"/>
      <x:c r="D32" s="86"/>
      <x:c r="E32" s="86"/>
      <x:c r="F32" s="86"/>
      <x:c r="G32" s="86"/>
      <x:c r="H32" s="86"/>
      <x:c r="I32" s="86"/>
      <x:c r="J32" s="86"/>
      <x:c r="K32" s="86"/>
      <x:c r="L32" s="86"/>
    </x:row>
    <x:row r="33" spans="1:12" ht="15.75" customHeight="1">
      <x:c r="A33" s="86"/>
      <x:c r="B33" s="86"/>
      <x:c r="C33" s="86"/>
      <x:c r="D33" s="86"/>
      <x:c r="E33" s="86"/>
      <x:c r="F33" s="86"/>
      <x:c r="G33" s="86"/>
      <x:c r="H33" s="86"/>
      <x:c r="I33" s="86"/>
      <x:c r="J33" s="86"/>
      <x:c r="K33" s="86"/>
      <x:c r="L33" s="86"/>
    </x:row>
  </x:sheetData>
  <x:mergeCells count="7">
    <x:mergeCell ref="A29:L29"/>
    <x:mergeCell ref="A1:L1"/>
    <x:mergeCell ref="A4:L4"/>
    <x:mergeCell ref="A7:L7"/>
    <x:mergeCell ref="A12:L12"/>
    <x:mergeCell ref="A16:L16"/>
    <x:mergeCell ref="A24:L24"/>
  </x:mergeCells>
  <x:pageMargins left="0.78736108541488647" right="0" top="0.39361110329627991" bottom="0.39361110329627991" header="0" footer="0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>
    <x:tabColor rgb="ffffff66"/>
  </x:sheetPr>
  <x:dimension ref="A1:J119"/>
  <x:sheetViews>
    <x:sheetView topLeftCell="A1" zoomScaleNormal="100" workbookViewId="0">
      <x:selection activeCell="C13" activeCellId="0" sqref="C13:J13"/>
    </x:sheetView>
  </x:sheetViews>
  <x:sheetFormatPr defaultColWidth="9.00390625" defaultRowHeight="10"/>
  <x:cols>
    <x:col min="1" max="1" width="33.125" style="87" customWidth="1"/>
    <x:col min="2" max="3" width="16.25" style="87" customWidth="1"/>
    <x:col min="4" max="4" width="4.25" style="87" customWidth="1"/>
    <x:col min="5" max="5" width="7.25" style="87" customWidth="1"/>
    <x:col min="6" max="6" width="30.625" style="87" customWidth="1"/>
    <x:col min="7" max="7" width="6.625" style="1" customWidth="1"/>
    <x:col min="8" max="8" width="3.625" style="1" customWidth="1"/>
    <x:col min="9" max="9" width="6.625" style="1" customWidth="1"/>
    <x:col min="10" max="10" width="4.25" style="1" customWidth="1"/>
    <x:col min="11" max="15" width="1.625" style="1" customWidth="1"/>
    <x:col min="16" max="16384" width="9" style="1"/>
  </x:cols>
  <x:sheetData>
    <x:row r="1" spans="1:10" ht="25.25">
      <x:c r="A1" s="121" t="s">
        <x:v>439</x:v>
      </x:c>
      <x:c r="B1" s="121"/>
      <x:c r="C1" s="121"/>
      <x:c r="D1" s="121"/>
      <x:c r="E1" s="121"/>
      <x:c r="F1" s="121"/>
      <x:c r="G1" s="121"/>
      <x:c r="H1" s="121"/>
      <x:c r="I1" s="121"/>
      <x:c r="J1" s="121"/>
    </x:row>
    <x:row r="2" spans="1:1" ht="16.5" customHeight="1">
      <x:c r="A2" s="87" t="s">
        <x:v>9</x:v>
      </x:c>
    </x:row>
    <x:row r="3" spans="1:10" ht="16.5" customHeight="1">
      <x:c r="A3" s="88" t="s">
        <x:v>111</x:v>
      </x:c>
      <x:c r="B3" s="88" t="s">
        <x:v>116</x:v>
      </x:c>
      <x:c r="C3" s="88" t="s">
        <x:v>115</x:v>
      </x:c>
      <x:c r="D3" s="88" t="s">
        <x:v>225</x:v>
      </x:c>
      <x:c r="E3" s="88" t="s">
        <x:v>110</x:v>
      </x:c>
      <x:c r="F3" s="88" t="s">
        <x:v>109</x:v>
      </x:c>
      <x:c r="G3" s="89" t="s">
        <x:v>108</x:v>
      </x:c>
      <x:c r="H3" s="89" t="s">
        <x:v>150</x:v>
      </x:c>
      <x:c r="I3" s="89" t="s">
        <x:v>156</x:v>
      </x:c>
      <x:c r="J3" s="89" t="s">
        <x:v>148</x:v>
      </x:c>
    </x:row>
    <x:row r="4" spans="1:10" ht="16.5" customHeight="1">
      <x:c r="A4" s="91" t="s">
        <x:v>442</x:v>
      </x:c>
      <x:c r="B4" s="91" t="s">
        <x:v>220</x:v>
      </x:c>
      <x:c r="C4" s="91" t="s">
        <x:v>220</x:v>
      </x:c>
      <x:c r="D4" s="91" t="s">
        <x:v>220</x:v>
      </x:c>
      <x:c r="E4" s="91" t="s">
        <x:v>441</x:v>
      </x:c>
      <x:c r="F4" s="91" t="s">
        <x:v>444</x:v>
      </x:c>
      <x:c r="G4" s="93"/>
      <x:c r="H4" s="93"/>
      <x:c r="I4" s="93"/>
      <x:c r="J4" s="93"/>
    </x:row>
    <x:row r="5" spans="1:10" ht="16.5" customHeight="1">
      <x:c r="A5" s="91" t="s">
        <x:v>220</x:v>
      </x:c>
      <x:c r="B5" s="91" t="s">
        <x:v>402</x:v>
      </x:c>
      <x:c r="C5" s="91" t="s">
        <x:v>377</x:v>
      </x:c>
      <x:c r="D5" s="91" t="s">
        <x:v>100</x:v>
      </x:c>
      <x:c r="E5" s="91" t="s">
        <x:v>107</x:v>
      </x:c>
      <x:c r="F5" s="91" t="s">
        <x:v>90</x:v>
      </x:c>
      <x:c r="G5" s="93">
        <x:v>5.04</x:v>
      </x:c>
      <x:c r="H5" s="93">
        <x:v>1</x:v>
      </x:c>
      <x:c r="I5" s="93">
        <x:v>5.04</x:v>
      </x:c>
      <x:c r="J5" s="93"/>
    </x:row>
    <x:row r="6" spans="1:10" ht="16.5" customHeight="1">
      <x:c r="A6" s="91" t="s">
        <x:v>220</x:v>
      </x:c>
      <x:c r="B6" s="91" t="s">
        <x:v>220</x:v>
      </x:c>
      <x:c r="C6" s="91" t="s">
        <x:v>220</x:v>
      </x:c>
      <x:c r="D6" s="91" t="s">
        <x:v>220</x:v>
      </x:c>
      <x:c r="E6" s="91" t="s">
        <x:v>220</x:v>
      </x:c>
      <x:c r="F6" s="91" t="s">
        <x:v>220</x:v>
      </x:c>
      <x:c r="G6" s="93"/>
      <x:c r="H6" s="93"/>
      <x:c r="I6" s="93"/>
      <x:c r="J6" s="93"/>
    </x:row>
    <x:row r="7" spans="1:10" ht="16.5" customHeight="1">
      <x:c r="A7" s="91" t="s">
        <x:v>220</x:v>
      </x:c>
      <x:c r="B7" s="91" t="s">
        <x:v>14</x:v>
      </x:c>
      <x:c r="C7" s="91" t="s">
        <x:v>328</x:v>
      </x:c>
      <x:c r="D7" s="91" t="s">
        <x:v>215</x:v>
      </x:c>
      <x:c r="E7" s="91" t="s">
        <x:v>220</x:v>
      </x:c>
      <x:c r="F7" s="91" t="s">
        <x:v>229</x:v>
      </x:c>
      <x:c r="G7" s="93">
        <x:v>0.038</x:v>
      </x:c>
      <x:c r="H7" s="93">
        <x:v>1</x:v>
      </x:c>
      <x:c r="I7" s="93">
        <x:v>0.038</x:v>
      </x:c>
      <x:c r="J7" s="93"/>
    </x:row>
    <x:row r="8" spans="1:10" ht="16.5" customHeight="1">
      <x:c r="A8" s="91" t="s">
        <x:v>220</x:v>
      </x:c>
      <x:c r="B8" s="91" t="s">
        <x:v>535</x:v>
      </x:c>
      <x:c r="C8" s="91" t="s">
        <x:v>528</x:v>
      </x:c>
      <x:c r="D8" s="91" t="s">
        <x:v>169</x:v>
      </x:c>
      <x:c r="E8" s="91" t="s">
        <x:v>220</x:v>
      </x:c>
      <x:c r="F8" s="91" t="s">
        <x:v>229</x:v>
      </x:c>
      <x:c r="G8" s="93">
        <x:v>0.038</x:v>
      </x:c>
      <x:c r="H8" s="93">
        <x:v>1</x:v>
      </x:c>
      <x:c r="I8" s="93">
        <x:v>0.038</x:v>
      </x:c>
      <x:c r="J8" s="93"/>
    </x:row>
    <x:row r="9" spans="1:10" ht="16.5" customHeight="1">
      <x:c r="A9" s="91" t="s">
        <x:v>220</x:v>
      </x:c>
      <x:c r="B9" s="91" t="s">
        <x:v>529</x:v>
      </x:c>
      <x:c r="C9" s="91" t="s">
        <x:v>244</x:v>
      </x:c>
      <x:c r="D9" s="91" t="s">
        <x:v>169</x:v>
      </x:c>
      <x:c r="E9" s="91" t="s">
        <x:v>220</x:v>
      </x:c>
      <x:c r="F9" s="91" t="s">
        <x:v>229</x:v>
      </x:c>
      <x:c r="G9" s="93">
        <x:v>0.038</x:v>
      </x:c>
      <x:c r="H9" s="93">
        <x:v>1</x:v>
      </x:c>
      <x:c r="I9" s="93">
        <x:v>0.038</x:v>
      </x:c>
      <x:c r="J9" s="93"/>
    </x:row>
    <x:row r="10" spans="1:10" ht="16.5" customHeight="1">
      <x:c r="A10" s="91" t="s">
        <x:v>220</x:v>
      </x:c>
      <x:c r="B10" s="91" t="s">
        <x:v>220</x:v>
      </x:c>
      <x:c r="C10" s="91" t="s">
        <x:v>220</x:v>
      </x:c>
      <x:c r="D10" s="91" t="s">
        <x:v>220</x:v>
      </x:c>
      <x:c r="E10" s="91" t="s">
        <x:v>220</x:v>
      </x:c>
      <x:c r="F10" s="91" t="s">
        <x:v>220</x:v>
      </x:c>
      <x:c r="G10" s="93"/>
      <x:c r="H10" s="93"/>
      <x:c r="I10" s="93"/>
      <x:c r="J10" s="93"/>
    </x:row>
    <x:row r="11" spans="1:10" ht="16.5" customHeight="1">
      <x:c r="A11" s="91" t="s">
        <x:v>220</x:v>
      </x:c>
      <x:c r="B11" s="91" t="s">
        <x:v>220</x:v>
      </x:c>
      <x:c r="C11" s="91" t="s">
        <x:v>220</x:v>
      </x:c>
      <x:c r="D11" s="91" t="s">
        <x:v>220</x:v>
      </x:c>
      <x:c r="E11" s="91" t="s">
        <x:v>441</x:v>
      </x:c>
      <x:c r="F11" s="91" t="s">
        <x:v>443</x:v>
      </x:c>
      <x:c r="G11" s="93"/>
      <x:c r="H11" s="93"/>
      <x:c r="I11" s="93"/>
      <x:c r="J11" s="93"/>
    </x:row>
    <x:row r="12" spans="1:10" ht="16.5" customHeight="1">
      <x:c r="A12" s="91" t="s">
        <x:v>220</x:v>
      </x:c>
      <x:c r="B12" s="91" t="s">
        <x:v>398</x:v>
      </x:c>
      <x:c r="C12" s="91" t="s">
        <x:v>246</x:v>
      </x:c>
      <x:c r="D12" s="91" t="s">
        <x:v>100</x:v>
      </x:c>
      <x:c r="E12" s="91" t="s">
        <x:v>107</x:v>
      </x:c>
      <x:c r="F12" s="91" t="s">
        <x:v>90</x:v>
      </x:c>
      <x:c r="G12" s="93">
        <x:v>5.04</x:v>
      </x:c>
      <x:c r="H12" s="93">
        <x:v>1</x:v>
      </x:c>
      <x:c r="I12" s="93">
        <x:v>5.04</x:v>
      </x:c>
      <x:c r="J12" s="93"/>
    </x:row>
    <x:row r="13" spans="1:10" ht="16.5" customHeight="1">
      <x:c r="A13" s="91" t="s">
        <x:v>220</x:v>
      </x:c>
      <x:c r="B13" s="91" t="s">
        <x:v>389</x:v>
      </x:c>
      <x:c r="C13" s="91" t="s">
        <x:v>154</x:v>
      </x:c>
      <x:c r="D13" s="91" t="s">
        <x:v>100</x:v>
      </x:c>
      <x:c r="E13" s="91" t="s">
        <x:v>220</x:v>
      </x:c>
      <x:c r="F13" s="91" t="s">
        <x:v>2</x:v>
      </x:c>
      <x:c r="G13" s="93">
        <x:v>3.6179999999999999</x:v>
      </x:c>
      <x:c r="H13" s="93">
        <x:v>1</x:v>
      </x:c>
      <x:c r="I13" s="93">
        <x:v>3.6179999999999999</x:v>
      </x:c>
      <x:c r="J13" s="93"/>
    </x:row>
    <x:row r="14" spans="1:10" ht="16.5" customHeight="1">
      <x:c r="A14" s="91" t="s">
        <x:v>220</x:v>
      </x:c>
      <x:c r="B14" s="91" t="s">
        <x:v>69</x:v>
      </x:c>
      <x:c r="C14" s="91" t="s">
        <x:v>365</x:v>
      </x:c>
      <x:c r="D14" s="91" t="s">
        <x:v>100</x:v>
      </x:c>
      <x:c r="E14" s="91" t="s">
        <x:v>220</x:v>
      </x:c>
      <x:c r="F14" s="91" t="s">
        <x:v>3</x:v>
      </x:c>
      <x:c r="G14" s="93">
        <x:v>0.40200000000000002</x:v>
      </x:c>
      <x:c r="H14" s="93">
        <x:v>1</x:v>
      </x:c>
      <x:c r="I14" s="93">
        <x:v>0.40200000000000002</x:v>
      </x:c>
      <x:c r="J14" s="93"/>
    </x:row>
    <x:row r="15" spans="1:10" ht="16.5" customHeight="1">
      <x:c r="A15" s="90"/>
      <x:c r="B15" s="90"/>
      <x:c r="C15" s="90"/>
      <x:c r="D15" s="90"/>
      <x:c r="E15" s="90"/>
      <x:c r="F15" s="90"/>
      <x:c r="G15" s="92"/>
      <x:c r="H15" s="92"/>
      <x:c r="I15" s="92"/>
      <x:c r="J15" s="92"/>
    </x:row>
    <x:row r="16" spans="1:10" ht="16.5" customHeight="1">
      <x:c r="A16" s="90"/>
      <x:c r="B16" s="90"/>
      <x:c r="C16" s="90"/>
      <x:c r="D16" s="90"/>
      <x:c r="E16" s="90"/>
      <x:c r="F16" s="90"/>
      <x:c r="G16" s="92"/>
      <x:c r="H16" s="92"/>
      <x:c r="I16" s="92"/>
      <x:c r="J16" s="92"/>
    </x:row>
    <x:row r="17" spans="1:10" ht="16.5" customHeight="1">
      <x:c r="A17" s="90"/>
      <x:c r="B17" s="90"/>
      <x:c r="C17" s="90"/>
      <x:c r="D17" s="90"/>
      <x:c r="E17" s="90"/>
      <x:c r="F17" s="90"/>
      <x:c r="G17" s="92"/>
      <x:c r="H17" s="92"/>
      <x:c r="I17" s="92"/>
      <x:c r="J17" s="92"/>
    </x:row>
    <x:row r="18" spans="1:10" ht="16.5" customHeight="1">
      <x:c r="A18" s="90"/>
      <x:c r="B18" s="90"/>
      <x:c r="C18" s="90"/>
      <x:c r="D18" s="90"/>
      <x:c r="E18" s="90"/>
      <x:c r="F18" s="90"/>
      <x:c r="G18" s="92"/>
      <x:c r="H18" s="92"/>
      <x:c r="I18" s="92"/>
      <x:c r="J18" s="92"/>
    </x:row>
    <x:row r="19" spans="1:10" ht="16.5" customHeight="1">
      <x:c r="A19" s="90"/>
      <x:c r="B19" s="90"/>
      <x:c r="C19" s="90"/>
      <x:c r="D19" s="90"/>
      <x:c r="E19" s="90"/>
      <x:c r="F19" s="90"/>
      <x:c r="G19" s="92"/>
      <x:c r="H19" s="92"/>
      <x:c r="I19" s="92"/>
      <x:c r="J19" s="92"/>
    </x:row>
    <x:row r="20" spans="1:10" ht="16.5" customHeight="1">
      <x:c r="A20" s="90"/>
      <x:c r="B20" s="90"/>
      <x:c r="C20" s="90"/>
      <x:c r="D20" s="90"/>
      <x:c r="E20" s="90"/>
      <x:c r="F20" s="90"/>
      <x:c r="G20" s="92"/>
      <x:c r="H20" s="92"/>
      <x:c r="I20" s="92"/>
      <x:c r="J20" s="92"/>
    </x:row>
    <x:row r="21" spans="1:10" ht="16.5" customHeight="1">
      <x:c r="A21" s="90"/>
      <x:c r="B21" s="90"/>
      <x:c r="C21" s="90"/>
      <x:c r="D21" s="90"/>
      <x:c r="E21" s="90"/>
      <x:c r="F21" s="90"/>
      <x:c r="G21" s="92"/>
      <x:c r="H21" s="92"/>
      <x:c r="I21" s="92"/>
      <x:c r="J21" s="92"/>
    </x:row>
    <x:row r="22" spans="1:10" ht="16.5" customHeight="1">
      <x:c r="A22" s="90"/>
      <x:c r="B22" s="90"/>
      <x:c r="C22" s="90"/>
      <x:c r="D22" s="90"/>
      <x:c r="E22" s="90"/>
      <x:c r="F22" s="90"/>
      <x:c r="G22" s="92"/>
      <x:c r="H22" s="92"/>
      <x:c r="I22" s="92"/>
      <x:c r="J22" s="92"/>
    </x:row>
    <x:row r="23" spans="1:10" ht="16.5" customHeight="1">
      <x:c r="A23" s="90"/>
      <x:c r="B23" s="90"/>
      <x:c r="C23" s="90"/>
      <x:c r="D23" s="90"/>
      <x:c r="E23" s="90"/>
      <x:c r="F23" s="90"/>
      <x:c r="G23" s="92"/>
      <x:c r="H23" s="92"/>
      <x:c r="I23" s="92"/>
      <x:c r="J23" s="92"/>
    </x:row>
    <x:row r="24" spans="1:10" ht="16.5" customHeight="1">
      <x:c r="A24" s="90"/>
      <x:c r="B24" s="90"/>
      <x:c r="C24" s="90"/>
      <x:c r="D24" s="90"/>
      <x:c r="E24" s="90"/>
      <x:c r="F24" s="90"/>
      <x:c r="G24" s="92"/>
      <x:c r="H24" s="92"/>
      <x:c r="I24" s="92"/>
      <x:c r="J24" s="92"/>
    </x:row>
    <x:row r="25" spans="1:10" ht="16.5" customHeight="1">
      <x:c r="A25" s="90"/>
      <x:c r="B25" s="90"/>
      <x:c r="C25" s="90"/>
      <x:c r="D25" s="90"/>
      <x:c r="E25" s="90"/>
      <x:c r="F25" s="90"/>
      <x:c r="G25" s="92"/>
      <x:c r="H25" s="92"/>
      <x:c r="I25" s="92"/>
      <x:c r="J25" s="92"/>
    </x:row>
    <x:row r="26" spans="1:10" ht="16.5" customHeight="1">
      <x:c r="A26" s="90"/>
      <x:c r="B26" s="90"/>
      <x:c r="C26" s="90"/>
      <x:c r="D26" s="90"/>
      <x:c r="E26" s="90"/>
      <x:c r="F26" s="90"/>
      <x:c r="G26" s="92"/>
      <x:c r="H26" s="92"/>
      <x:c r="I26" s="92"/>
      <x:c r="J26" s="92"/>
    </x:row>
    <x:row r="27" spans="1:10" ht="16.5" customHeight="1">
      <x:c r="A27" s="90"/>
      <x:c r="B27" s="90"/>
      <x:c r="C27" s="90"/>
      <x:c r="D27" s="90"/>
      <x:c r="E27" s="90"/>
      <x:c r="F27" s="90"/>
      <x:c r="G27" s="92"/>
      <x:c r="H27" s="92"/>
      <x:c r="I27" s="92"/>
      <x:c r="J27" s="92"/>
    </x:row>
    <x:row r="28" spans="1:10" ht="16.5" customHeight="1">
      <x:c r="A28" s="90"/>
      <x:c r="B28" s="90"/>
      <x:c r="C28" s="90"/>
      <x:c r="D28" s="90"/>
      <x:c r="E28" s="90"/>
      <x:c r="F28" s="90"/>
      <x:c r="G28" s="92"/>
      <x:c r="H28" s="92"/>
      <x:c r="I28" s="92"/>
      <x:c r="J28" s="92"/>
    </x:row>
    <x:row r="29" spans="1:10" ht="16.5" customHeight="1">
      <x:c r="A29" s="90"/>
      <x:c r="B29" s="90"/>
      <x:c r="C29" s="90"/>
      <x:c r="D29" s="90"/>
      <x:c r="E29" s="90"/>
      <x:c r="F29" s="90"/>
      <x:c r="G29" s="92"/>
      <x:c r="H29" s="92"/>
      <x:c r="I29" s="92"/>
      <x:c r="J29" s="92"/>
    </x:row>
    <x:row r="30" spans="1:10" ht="16.5" customHeight="1">
      <x:c r="A30" s="90"/>
      <x:c r="B30" s="90"/>
      <x:c r="C30" s="90"/>
      <x:c r="D30" s="90"/>
      <x:c r="E30" s="90"/>
      <x:c r="F30" s="90"/>
      <x:c r="G30" s="92"/>
      <x:c r="H30" s="92"/>
      <x:c r="I30" s="92"/>
      <x:c r="J30" s="92"/>
    </x:row>
    <x:row r="31" spans="1:10" ht="16.5" customHeight="1">
      <x:c r="A31" s="90"/>
      <x:c r="B31" s="90"/>
      <x:c r="C31" s="90"/>
      <x:c r="D31" s="90"/>
      <x:c r="E31" s="90"/>
      <x:c r="F31" s="90"/>
      <x:c r="G31" s="92"/>
      <x:c r="H31" s="92"/>
      <x:c r="I31" s="92"/>
      <x:c r="J31" s="92"/>
    </x:row>
    <x:row r="32" spans="1:1" ht="16.5" customHeight="1">
      <x:c r="A32" s="87" t="s">
        <x:v>8</x:v>
      </x:c>
    </x:row>
    <x:row r="33" spans="1:10" ht="16.5" customHeight="1">
      <x:c r="A33" s="88" t="s">
        <x:v>111</x:v>
      </x:c>
      <x:c r="B33" s="88" t="s">
        <x:v>116</x:v>
      </x:c>
      <x:c r="C33" s="88" t="s">
        <x:v>115</x:v>
      </x:c>
      <x:c r="D33" s="88" t="s">
        <x:v>225</x:v>
      </x:c>
      <x:c r="E33" s="88" t="s">
        <x:v>110</x:v>
      </x:c>
      <x:c r="F33" s="88" t="s">
        <x:v>109</x:v>
      </x:c>
      <x:c r="G33" s="89" t="s">
        <x:v>108</x:v>
      </x:c>
      <x:c r="H33" s="89" t="s">
        <x:v>150</x:v>
      </x:c>
      <x:c r="I33" s="89" t="s">
        <x:v>156</x:v>
      </x:c>
      <x:c r="J33" s="89" t="s">
        <x:v>148</x:v>
      </x:c>
    </x:row>
    <x:row r="34" spans="1:10" ht="16.5" customHeight="1">
      <x:c r="A34" s="91" t="s">
        <x:v>91</x:v>
      </x:c>
      <x:c r="B34" s="91" t="s">
        <x:v>220</x:v>
      </x:c>
      <x:c r="C34" s="91" t="s">
        <x:v>220</x:v>
      </x:c>
      <x:c r="D34" s="91" t="s">
        <x:v>220</x:v>
      </x:c>
      <x:c r="E34" s="91" t="s">
        <x:v>441</x:v>
      </x:c>
      <x:c r="F34" s="91" t="s">
        <x:v>444</x:v>
      </x:c>
      <x:c r="G34" s="93"/>
      <x:c r="H34" s="93"/>
      <x:c r="I34" s="93"/>
      <x:c r="J34" s="93"/>
    </x:row>
    <x:row r="35" spans="1:10" ht="16.5" customHeight="1">
      <x:c r="A35" s="91" t="s">
        <x:v>220</x:v>
      </x:c>
      <x:c r="B35" s="91" t="s">
        <x:v>406</x:v>
      </x:c>
      <x:c r="C35" s="91" t="s">
        <x:v>220</x:v>
      </x:c>
      <x:c r="D35" s="91" t="s">
        <x:v>100</x:v>
      </x:c>
      <x:c r="E35" s="91" t="s">
        <x:v>220</x:v>
      </x:c>
      <x:c r="F35" s="91" t="s">
        <x:v>4</x:v>
      </x:c>
      <x:c r="G35" s="93">
        <x:v>15.504</x:v>
      </x:c>
      <x:c r="H35" s="93">
        <x:v>1</x:v>
      </x:c>
      <x:c r="I35" s="93">
        <x:v>15.504</x:v>
      </x:c>
      <x:c r="J35" s="93"/>
    </x:row>
    <x:row r="36" spans="1:10" ht="16.5" customHeight="1">
      <x:c r="A36" s="91" t="s">
        <x:v>220</x:v>
      </x:c>
      <x:c r="B36" s="91" t="s">
        <x:v>504</x:v>
      </x:c>
      <x:c r="C36" s="91" t="s">
        <x:v>220</x:v>
      </x:c>
      <x:c r="D36" s="91" t="s">
        <x:v>216</x:v>
      </x:c>
      <x:c r="E36" s="91" t="s">
        <x:v>220</x:v>
      </x:c>
      <x:c r="F36" s="91" t="s">
        <x:v>158</x:v>
      </x:c>
      <x:c r="G36" s="93">
        <x:v>1</x:v>
      </x:c>
      <x:c r="H36" s="93">
        <x:v>1</x:v>
      </x:c>
      <x:c r="I36" s="93">
        <x:v>1</x:v>
      </x:c>
      <x:c r="J36" s="93"/>
    </x:row>
    <x:row r="37" spans="1:10" ht="16.5" customHeight="1">
      <x:c r="A37" s="91" t="s">
        <x:v>220</x:v>
      </x:c>
      <x:c r="B37" s="91" t="s">
        <x:v>71</x:v>
      </x:c>
      <x:c r="C37" s="91" t="s">
        <x:v>220</x:v>
      </x:c>
      <x:c r="D37" s="91" t="s">
        <x:v>216</x:v>
      </x:c>
      <x:c r="E37" s="91" t="s">
        <x:v>220</x:v>
      </x:c>
      <x:c r="F37" s="91" t="s">
        <x:v>106</x:v>
      </x:c>
      <x:c r="G37" s="93">
        <x:v>2</x:v>
      </x:c>
      <x:c r="H37" s="93">
        <x:v>1</x:v>
      </x:c>
      <x:c r="I37" s="93">
        <x:v>2</x:v>
      </x:c>
      <x:c r="J37" s="93"/>
    </x:row>
    <x:row r="38" spans="1:10" ht="16.5" customHeight="1">
      <x:c r="A38" s="91" t="s">
        <x:v>220</x:v>
      </x:c>
      <x:c r="B38" s="91" t="s">
        <x:v>503</x:v>
      </x:c>
      <x:c r="C38" s="91" t="s">
        <x:v>63</x:v>
      </x:c>
      <x:c r="D38" s="91" t="s">
        <x:v>218</x:v>
      </x:c>
      <x:c r="E38" s="91" t="s">
        <x:v>220</x:v>
      </x:c>
      <x:c r="F38" s="91" t="s">
        <x:v>446</x:v>
      </x:c>
      <x:c r="G38" s="93">
        <x:v>7.3499999999999996</x:v>
      </x:c>
      <x:c r="H38" s="93">
        <x:v>1</x:v>
      </x:c>
      <x:c r="I38" s="93">
        <x:v>7.3499999999999996</x:v>
      </x:c>
      <x:c r="J38" s="93"/>
    </x:row>
    <x:row r="39" spans="1:10" ht="16.5" customHeight="1">
      <x:c r="A39" s="91" t="s">
        <x:v>220</x:v>
      </x:c>
      <x:c r="B39" s="91" t="s">
        <x:v>500</x:v>
      </x:c>
      <x:c r="C39" s="91" t="s">
        <x:v>505</x:v>
      </x:c>
      <x:c r="D39" s="91" t="s">
        <x:v>216</x:v>
      </x:c>
      <x:c r="E39" s="91" t="s">
        <x:v>220</x:v>
      </x:c>
      <x:c r="F39" s="91" t="s">
        <x:v>158</x:v>
      </x:c>
      <x:c r="G39" s="93">
        <x:v>1</x:v>
      </x:c>
      <x:c r="H39" s="93">
        <x:v>1</x:v>
      </x:c>
      <x:c r="I39" s="93">
        <x:v>1</x:v>
      </x:c>
      <x:c r="J39" s="93"/>
    </x:row>
    <x:row r="40" spans="1:10" ht="16.5" customHeight="1">
      <x:c r="A40" s="91" t="s">
        <x:v>220</x:v>
      </x:c>
      <x:c r="B40" s="91" t="s">
        <x:v>72</x:v>
      </x:c>
      <x:c r="C40" s="91" t="s">
        <x:v>220</x:v>
      </x:c>
      <x:c r="D40" s="91" t="s">
        <x:v>216</x:v>
      </x:c>
      <x:c r="E40" s="91" t="s">
        <x:v>220</x:v>
      </x:c>
      <x:c r="F40" s="91" t="s">
        <x:v>158</x:v>
      </x:c>
      <x:c r="G40" s="93">
        <x:v>1</x:v>
      </x:c>
      <x:c r="H40" s="93">
        <x:v>1</x:v>
      </x:c>
      <x:c r="I40" s="93">
        <x:v>1</x:v>
      </x:c>
      <x:c r="J40" s="93"/>
    </x:row>
    <x:row r="41" spans="1:10" ht="16.5" customHeight="1">
      <x:c r="A41" s="91" t="s">
        <x:v>220</x:v>
      </x:c>
      <x:c r="B41" s="91" t="s">
        <x:v>220</x:v>
      </x:c>
      <x:c r="C41" s="91" t="s">
        <x:v>220</x:v>
      </x:c>
      <x:c r="D41" s="91" t="s">
        <x:v>220</x:v>
      </x:c>
      <x:c r="E41" s="91" t="s">
        <x:v>220</x:v>
      </x:c>
      <x:c r="F41" s="91" t="s">
        <x:v>220</x:v>
      </x:c>
      <x:c r="G41" s="93"/>
      <x:c r="H41" s="93"/>
      <x:c r="I41" s="93"/>
      <x:c r="J41" s="93"/>
    </x:row>
    <x:row r="42" spans="1:10" ht="16.5" customHeight="1">
      <x:c r="A42" s="91" t="s">
        <x:v>220</x:v>
      </x:c>
      <x:c r="B42" s="91" t="s">
        <x:v>217</x:v>
      </x:c>
      <x:c r="C42" s="91" t="s">
        <x:v>39</x:v>
      </x:c>
      <x:c r="D42" s="91" t="s">
        <x:v>215</x:v>
      </x:c>
      <x:c r="E42" s="91" t="s">
        <x:v>445</x:v>
      </x:c>
      <x:c r="F42" s="91" t="s">
        <x:v>6</x:v>
      </x:c>
      <x:c r="G42" s="93">
        <x:v>0.064000000000000001</x:v>
      </x:c>
      <x:c r="H42" s="93">
        <x:v>1</x:v>
      </x:c>
      <x:c r="I42" s="93">
        <x:v>0.064000000000000001</x:v>
      </x:c>
      <x:c r="J42" s="93"/>
    </x:row>
    <x:row r="43" spans="1:10" ht="16.5" customHeight="1">
      <x:c r="A43" s="91" t="s">
        <x:v>220</x:v>
      </x:c>
      <x:c r="B43" s="91" t="s">
        <x:v>220</x:v>
      </x:c>
      <x:c r="C43" s="91" t="s">
        <x:v>220</x:v>
      </x:c>
      <x:c r="D43" s="91" t="s">
        <x:v>220</x:v>
      </x:c>
      <x:c r="E43" s="91" t="s">
        <x:v>220</x:v>
      </x:c>
      <x:c r="F43" s="91" t="s">
        <x:v>220</x:v>
      </x:c>
      <x:c r="G43" s="93"/>
      <x:c r="H43" s="93"/>
      <x:c r="I43" s="93"/>
      <x:c r="J43" s="93"/>
    </x:row>
    <x:row r="44" spans="1:10" ht="16.5" customHeight="1">
      <x:c r="A44" s="91" t="s">
        <x:v>220</x:v>
      </x:c>
      <x:c r="B44" s="91" t="s">
        <x:v>14</x:v>
      </x:c>
      <x:c r="C44" s="91" t="s">
        <x:v>335</x:v>
      </x:c>
      <x:c r="D44" s="91" t="s">
        <x:v>215</x:v>
      </x:c>
      <x:c r="E44" s="91" t="s">
        <x:v>220</x:v>
      </x:c>
      <x:c r="F44" s="91" t="s">
        <x:v>482</x:v>
      </x:c>
      <x:c r="G44" s="93">
        <x:v>0.013</x:v>
      </x:c>
      <x:c r="H44" s="93">
        <x:v>1</x:v>
      </x:c>
      <x:c r="I44" s="93">
        <x:v>0.013</x:v>
      </x:c>
      <x:c r="J44" s="93"/>
    </x:row>
    <x:row r="45" spans="1:10" ht="16.5" customHeight="1">
      <x:c r="A45" s="91" t="s">
        <x:v>220</x:v>
      </x:c>
      <x:c r="B45" s="91" t="s">
        <x:v>535</x:v>
      </x:c>
      <x:c r="C45" s="91" t="s">
        <x:v>528</x:v>
      </x:c>
      <x:c r="D45" s="91" t="s">
        <x:v>169</x:v>
      </x:c>
      <x:c r="E45" s="91" t="s">
        <x:v>220</x:v>
      </x:c>
      <x:c r="F45" s="91" t="s">
        <x:v>482</x:v>
      </x:c>
      <x:c r="G45" s="93">
        <x:v>0.013</x:v>
      </x:c>
      <x:c r="H45" s="93">
        <x:v>1</x:v>
      </x:c>
      <x:c r="I45" s="93">
        <x:v>0.013</x:v>
      </x:c>
      <x:c r="J45" s="93"/>
    </x:row>
    <x:row r="46" spans="1:10" ht="16.5" customHeight="1">
      <x:c r="A46" s="91" t="s">
        <x:v>220</x:v>
      </x:c>
      <x:c r="B46" s="91" t="s">
        <x:v>529</x:v>
      </x:c>
      <x:c r="C46" s="91" t="s">
        <x:v>244</x:v>
      </x:c>
      <x:c r="D46" s="91" t="s">
        <x:v>169</x:v>
      </x:c>
      <x:c r="E46" s="91" t="s">
        <x:v>220</x:v>
      </x:c>
      <x:c r="F46" s="91" t="s">
        <x:v>482</x:v>
      </x:c>
      <x:c r="G46" s="93">
        <x:v>0.013</x:v>
      </x:c>
      <x:c r="H46" s="93">
        <x:v>1</x:v>
      </x:c>
      <x:c r="I46" s="93">
        <x:v>0.013</x:v>
      </x:c>
      <x:c r="J46" s="93"/>
    </x:row>
    <x:row r="47" spans="1:10" ht="16.5" customHeight="1">
      <x:c r="A47" s="91" t="s">
        <x:v>92</x:v>
      </x:c>
      <x:c r="B47" s="91" t="s">
        <x:v>220</x:v>
      </x:c>
      <x:c r="C47" s="91" t="s">
        <x:v>220</x:v>
      </x:c>
      <x:c r="D47" s="91" t="s">
        <x:v>220</x:v>
      </x:c>
      <x:c r="E47" s="91" t="s">
        <x:v>441</x:v>
      </x:c>
      <x:c r="F47" s="91" t="s">
        <x:v>105</x:v>
      </x:c>
      <x:c r="G47" s="93"/>
      <x:c r="H47" s="93"/>
      <x:c r="I47" s="93"/>
      <x:c r="J47" s="93"/>
    </x:row>
    <x:row r="48" spans="1:10" ht="49.5" customHeight="1">
      <x:c r="A48" s="91" t="s">
        <x:v>220</x:v>
      </x:c>
      <x:c r="B48" s="91" t="s">
        <x:v>239</x:v>
      </x:c>
      <x:c r="C48" s="91" t="s">
        <x:v>59</x:v>
      </x:c>
      <x:c r="D48" s="91" t="s">
        <x:v>100</x:v>
      </x:c>
      <x:c r="E48" s="91" t="s">
        <x:v>220</x:v>
      </x:c>
      <x:c r="F48" s="91" t="s">
        <x:v>260</x:v>
      </x:c>
      <x:c r="G48" s="93">
        <x:v>88.489000000000004</x:v>
      </x:c>
      <x:c r="H48" s="93">
        <x:v>1</x:v>
      </x:c>
      <x:c r="I48" s="93">
        <x:v>88.489000000000004</x:v>
      </x:c>
      <x:c r="J48" s="93"/>
    </x:row>
    <x:row r="49" spans="1:10" ht="16.5" customHeight="1">
      <x:c r="A49" s="91" t="s">
        <x:v>220</x:v>
      </x:c>
      <x:c r="B49" s="91" t="s">
        <x:v>239</x:v>
      </x:c>
      <x:c r="C49" s="91" t="s">
        <x:v>59</x:v>
      </x:c>
      <x:c r="D49" s="91" t="s">
        <x:v>100</x:v>
      </x:c>
      <x:c r="E49" s="91" t="s">
        <x:v>448</x:v>
      </x:c>
      <x:c r="F49" s="91" t="s">
        <x:v>5</x:v>
      </x:c>
      <x:c r="G49" s="93">
        <x:v>19.584</x:v>
      </x:c>
      <x:c r="H49" s="93">
        <x:v>1</x:v>
      </x:c>
      <x:c r="I49" s="93">
        <x:v>19.584</x:v>
      </x:c>
      <x:c r="J49" s="93"/>
    </x:row>
    <x:row r="50" spans="1:10" ht="16.5" customHeight="1">
      <x:c r="A50" s="91" t="s">
        <x:v>220</x:v>
      </x:c>
      <x:c r="B50" s="91" t="s">
        <x:v>239</x:v>
      </x:c>
      <x:c r="C50" s="91" t="s">
        <x:v>59</x:v>
      </x:c>
      <x:c r="D50" s="91" t="s">
        <x:v>100</x:v>
      </x:c>
      <x:c r="E50" s="91" t="s">
        <x:v>93</x:v>
      </x:c>
      <x:c r="F50" s="91" t="s">
        <x:v>480</x:v>
      </x:c>
      <x:c r="G50" s="93">
        <x:v>1.9139999999999999</x:v>
      </x:c>
      <x:c r="H50" s="93">
        <x:v>1</x:v>
      </x:c>
      <x:c r="I50" s="93">
        <x:v>1.9139999999999999</x:v>
      </x:c>
      <x:c r="J50" s="93"/>
    </x:row>
    <x:row r="51" spans="1:10" ht="16.5" customHeight="1">
      <x:c r="A51" s="91" t="s">
        <x:v>220</x:v>
      </x:c>
      <x:c r="B51" s="91" t="s">
        <x:v>239</x:v>
      </x:c>
      <x:c r="C51" s="91" t="s">
        <x:v>59</x:v>
      </x:c>
      <x:c r="D51" s="91" t="s">
        <x:v>100</x:v>
      </x:c>
      <x:c r="E51" s="91" t="s">
        <x:v>94</x:v>
      </x:c>
      <x:c r="F51" s="91" t="s">
        <x:v>479</x:v>
      </x:c>
      <x:c r="G51" s="93">
        <x:v>1.74</x:v>
      </x:c>
      <x:c r="H51" s="93">
        <x:v>1</x:v>
      </x:c>
      <x:c r="I51" s="93">
        <x:v>1.74</x:v>
      </x:c>
      <x:c r="J51" s="93"/>
    </x:row>
    <x:row r="52" spans="1:10" ht="16.5" customHeight="1">
      <x:c r="A52" s="91" t="s">
        <x:v>220</x:v>
      </x:c>
      <x:c r="B52" s="91" t="s">
        <x:v>239</x:v>
      </x:c>
      <x:c r="C52" s="91" t="s">
        <x:v>59</x:v>
      </x:c>
      <x:c r="D52" s="91" t="s">
        <x:v>100</x:v>
      </x:c>
      <x:c r="E52" s="91" t="s">
        <x:v>447</x:v>
      </x:c>
      <x:c r="F52" s="91" t="s">
        <x:v>461</x:v>
      </x:c>
      <x:c r="G52" s="93">
        <x:v>0.72499999999999998</x:v>
      </x:c>
      <x:c r="H52" s="93">
        <x:v>1</x:v>
      </x:c>
      <x:c r="I52" s="93">
        <x:v>0.72499999999999998</x:v>
      </x:c>
      <x:c r="J52" s="93"/>
    </x:row>
    <x:row r="53" spans="1:10" ht="16.5" customHeight="1">
      <x:c r="A53" s="91" t="s">
        <x:v>220</x:v>
      </x:c>
      <x:c r="B53" s="91" t="s">
        <x:v>239</x:v>
      </x:c>
      <x:c r="C53" s="91" t="s">
        <x:v>59</x:v>
      </x:c>
      <x:c r="D53" s="91" t="s">
        <x:v>100</x:v>
      </x:c>
      <x:c r="E53" s="91" t="s">
        <x:v>104</x:v>
      </x:c>
      <x:c r="F53" s="91" t="s">
        <x:v>10</x:v>
      </x:c>
      <x:c r="G53" s="93">
        <x:v>2.4140000000000001</x:v>
      </x:c>
      <x:c r="H53" s="93">
        <x:v>1</x:v>
      </x:c>
      <x:c r="I53" s="93">
        <x:v>2.4140000000000001</x:v>
      </x:c>
      <x:c r="J53" s="93"/>
    </x:row>
    <x:row r="54" spans="1:10" ht="16.5" customHeight="1">
      <x:c r="A54" s="91" t="s">
        <x:v>220</x:v>
      </x:c>
      <x:c r="B54" s="91" t="s">
        <x:v>239</x:v>
      </x:c>
      <x:c r="C54" s="91" t="s">
        <x:v>59</x:v>
      </x:c>
      <x:c r="D54" s="91" t="s">
        <x:v>100</x:v>
      </x:c>
      <x:c r="E54" s="91" t="s">
        <x:v>103</x:v>
      </x:c>
      <x:c r="F54" s="91" t="s">
        <x:v>469</x:v>
      </x:c>
      <x:c r="G54" s="93">
        <x:v>14.6</x:v>
      </x:c>
      <x:c r="H54" s="93">
        <x:v>1</x:v>
      </x:c>
      <x:c r="I54" s="93">
        <x:v>14.6</x:v>
      </x:c>
      <x:c r="J54" s="93"/>
    </x:row>
    <x:row r="55" spans="1:10" ht="16.5" customHeight="1">
      <x:c r="A55" s="91" t="s">
        <x:v>220</x:v>
      </x:c>
      <x:c r="B55" s="91" t="s">
        <x:v>239</x:v>
      </x:c>
      <x:c r="C55" s="91" t="s">
        <x:v>59</x:v>
      </x:c>
      <x:c r="D55" s="91" t="s">
        <x:v>100</x:v>
      </x:c>
      <x:c r="E55" s="91" t="s">
        <x:v>450</x:v>
      </x:c>
      <x:c r="F55" s="91" t="s">
        <x:v>0</x:v>
      </x:c>
      <x:c r="G55" s="93">
        <x:v>1.905</x:v>
      </x:c>
      <x:c r="H55" s="93">
        <x:v>1</x:v>
      </x:c>
      <x:c r="I55" s="93">
        <x:v>1.905</x:v>
      </x:c>
      <x:c r="J55" s="93"/>
    </x:row>
    <x:row r="56" spans="1:10" ht="16.5" customHeight="1">
      <x:c r="A56" s="91" t="s">
        <x:v>220</x:v>
      </x:c>
      <x:c r="B56" s="91" t="s">
        <x:v>239</x:v>
      </x:c>
      <x:c r="C56" s="91" t="s">
        <x:v>59</x:v>
      </x:c>
      <x:c r="D56" s="91" t="s">
        <x:v>100</x:v>
      </x:c>
      <x:c r="E56" s="91" t="s">
        <x:v>102</x:v>
      </x:c>
      <x:c r="F56" s="91" t="s">
        <x:v>95</x:v>
      </x:c>
      <x:c r="G56" s="93">
        <x:v>1.3200000000000001</x:v>
      </x:c>
      <x:c r="H56" s="93">
        <x:v>1</x:v>
      </x:c>
      <x:c r="I56" s="93">
        <x:v>1.3200000000000001</x:v>
      </x:c>
      <x:c r="J56" s="93"/>
    </x:row>
    <x:row r="57" spans="1:10" ht="16.5" customHeight="1">
      <x:c r="A57" s="91" t="s">
        <x:v>220</x:v>
      </x:c>
      <x:c r="B57" s="91" t="s">
        <x:v>220</x:v>
      </x:c>
      <x:c r="C57" s="91" t="s">
        <x:v>220</x:v>
      </x:c>
      <x:c r="D57" s="91" t="s">
        <x:v>220</x:v>
      </x:c>
      <x:c r="E57" s="91" t="s">
        <x:v>220</x:v>
      </x:c>
      <x:c r="F57" s="91" t="s">
        <x:v>220</x:v>
      </x:c>
      <x:c r="G57" s="93"/>
      <x:c r="H57" s="93"/>
      <x:c r="I57" s="93"/>
      <x:c r="J57" s="93"/>
    </x:row>
    <x:row r="58" spans="1:10" ht="16.5" customHeight="1">
      <x:c r="A58" s="91" t="s">
        <x:v>220</x:v>
      </x:c>
      <x:c r="B58" s="91" t="s">
        <x:v>220</x:v>
      </x:c>
      <x:c r="C58" s="91" t="s">
        <x:v>220</x:v>
      </x:c>
      <x:c r="D58" s="91" t="s">
        <x:v>220</x:v>
      </x:c>
      <x:c r="E58" s="91" t="s">
        <x:v>441</x:v>
      </x:c>
      <x:c r="F58" s="91" t="s">
        <x:v>449</x:v>
      </x:c>
      <x:c r="G58" s="93"/>
      <x:c r="H58" s="93"/>
      <x:c r="I58" s="93"/>
      <x:c r="J58" s="93"/>
    </x:row>
    <x:row r="59" spans="1:10" ht="16.5" customHeight="1">
      <x:c r="A59" s="91" t="s">
        <x:v>220</x:v>
      </x:c>
      <x:c r="B59" s="91" t="s">
        <x:v>239</x:v>
      </x:c>
      <x:c r="C59" s="91" t="s">
        <x:v>59</x:v>
      </x:c>
      <x:c r="D59" s="91" t="s">
        <x:v>100</x:v>
      </x:c>
      <x:c r="E59" s="91" t="s">
        <x:v>220</x:v>
      </x:c>
      <x:c r="F59" s="91" t="s">
        <x:v>468</x:v>
      </x:c>
      <x:c r="G59" s="93">
        <x:v>38.579999999999998</x:v>
      </x:c>
      <x:c r="H59" s="93">
        <x:v>1</x:v>
      </x:c>
      <x:c r="I59" s="93">
        <x:v>38.579999999999998</x:v>
      </x:c>
      <x:c r="J59" s="93"/>
    </x:row>
    <x:row r="60" spans="1:1" ht="16.5" customHeight="1">
      <x:c r="A60" s="87" t="s">
        <x:v>8</x:v>
      </x:c>
    </x:row>
    <x:row r="61" spans="1:10" ht="16.5" customHeight="1">
      <x:c r="A61" s="88" t="s">
        <x:v>111</x:v>
      </x:c>
      <x:c r="B61" s="88" t="s">
        <x:v>116</x:v>
      </x:c>
      <x:c r="C61" s="88" t="s">
        <x:v>115</x:v>
      </x:c>
      <x:c r="D61" s="88" t="s">
        <x:v>225</x:v>
      </x:c>
      <x:c r="E61" s="88" t="s">
        <x:v>110</x:v>
      </x:c>
      <x:c r="F61" s="88" t="s">
        <x:v>109</x:v>
      </x:c>
      <x:c r="G61" s="89" t="s">
        <x:v>108</x:v>
      </x:c>
      <x:c r="H61" s="89" t="s">
        <x:v>150</x:v>
      </x:c>
      <x:c r="I61" s="89" t="s">
        <x:v>156</x:v>
      </x:c>
      <x:c r="J61" s="89" t="s">
        <x:v>148</x:v>
      </x:c>
    </x:row>
    <x:row r="62" spans="1:10" ht="16.5" customHeight="1">
      <x:c r="A62" s="91" t="s">
        <x:v>92</x:v>
      </x:c>
      <x:c r="B62" s="91" t="s">
        <x:v>239</x:v>
      </x:c>
      <x:c r="C62" s="91" t="s">
        <x:v>59</x:v>
      </x:c>
      <x:c r="D62" s="91" t="s">
        <x:v>100</x:v>
      </x:c>
      <x:c r="E62" s="91" t="s">
        <x:v>453</x:v>
      </x:c>
      <x:c r="F62" s="91" t="s">
        <x:v>227</x:v>
      </x:c>
      <x:c r="G62" s="93">
        <x:v>0.29999999999999999</x:v>
      </x:c>
      <x:c r="H62" s="93">
        <x:v>1</x:v>
      </x:c>
      <x:c r="I62" s="93">
        <x:v>0.29999999999999999</x:v>
      </x:c>
      <x:c r="J62" s="93"/>
    </x:row>
    <x:row r="63" spans="1:10" ht="16.5" customHeight="1">
      <x:c r="A63" s="91" t="s">
        <x:v>220</x:v>
      </x:c>
      <x:c r="B63" s="91" t="s">
        <x:v>220</x:v>
      </x:c>
      <x:c r="C63" s="91" t="s">
        <x:v>220</x:v>
      </x:c>
      <x:c r="D63" s="91" t="s">
        <x:v>220</x:v>
      </x:c>
      <x:c r="E63" s="91" t="s">
        <x:v>220</x:v>
      </x:c>
      <x:c r="F63" s="91" t="s">
        <x:v>220</x:v>
      </x:c>
      <x:c r="G63" s="93"/>
      <x:c r="H63" s="93"/>
      <x:c r="I63" s="93"/>
      <x:c r="J63" s="93"/>
    </x:row>
    <x:row r="64" spans="1:10" ht="16.5" customHeight="1">
      <x:c r="A64" s="91" t="s">
        <x:v>220</x:v>
      </x:c>
      <x:c r="B64" s="91" t="s">
        <x:v>220</x:v>
      </x:c>
      <x:c r="C64" s="91" t="s">
        <x:v>220</x:v>
      </x:c>
      <x:c r="D64" s="91" t="s">
        <x:v>220</x:v>
      </x:c>
      <x:c r="E64" s="91" t="s">
        <x:v>441</x:v>
      </x:c>
      <x:c r="F64" s="91" t="s">
        <x:v>451</x:v>
      </x:c>
      <x:c r="G64" s="93"/>
      <x:c r="H64" s="93"/>
      <x:c r="I64" s="93"/>
      <x:c r="J64" s="93"/>
    </x:row>
    <x:row r="65" spans="1:10" ht="16.5" customHeight="1">
      <x:c r="A65" s="91" t="s">
        <x:v>220</x:v>
      </x:c>
      <x:c r="B65" s="91" t="s">
        <x:v>239</x:v>
      </x:c>
      <x:c r="C65" s="91" t="s">
        <x:v>59</x:v>
      </x:c>
      <x:c r="D65" s="91" t="s">
        <x:v>100</x:v>
      </x:c>
      <x:c r="E65" s="91" t="s">
        <x:v>220</x:v>
      </x:c>
      <x:c r="F65" s="91" t="s">
        <x:v>96</x:v>
      </x:c>
      <x:c r="G65" s="93">
        <x:v>10.75</x:v>
      </x:c>
      <x:c r="H65" s="93">
        <x:v>1</x:v>
      </x:c>
      <x:c r="I65" s="93">
        <x:v>10.75</x:v>
      </x:c>
      <x:c r="J65" s="93"/>
    </x:row>
    <x:row r="66" spans="1:10" ht="16.5" customHeight="1">
      <x:c r="A66" s="91" t="s">
        <x:v>454</x:v>
      </x:c>
      <x:c r="B66" s="91" t="s">
        <x:v>220</x:v>
      </x:c>
      <x:c r="C66" s="91" t="s">
        <x:v>220</x:v>
      </x:c>
      <x:c r="D66" s="91" t="s">
        <x:v>220</x:v>
      </x:c>
      <x:c r="E66" s="91" t="s">
        <x:v>441</x:v>
      </x:c>
      <x:c r="F66" s="91" t="s">
        <x:v>452</x:v>
      </x:c>
      <x:c r="G66" s="93"/>
      <x:c r="H66" s="93"/>
      <x:c r="I66" s="93"/>
      <x:c r="J66" s="93"/>
    </x:row>
    <x:row r="67" spans="1:10" ht="16.5" customHeight="1">
      <x:c r="A67" s="91" t="s">
        <x:v>220</x:v>
      </x:c>
      <x:c r="B67" s="91" t="s">
        <x:v>502</x:v>
      </x:c>
      <x:c r="C67" s="91" t="s">
        <x:v>368</x:v>
      </x:c>
      <x:c r="D67" s="91" t="s">
        <x:v>216</x:v>
      </x:c>
      <x:c r="E67" s="91" t="s">
        <x:v>220</x:v>
      </x:c>
      <x:c r="F67" s="91" t="s">
        <x:v>101</x:v>
      </x:c>
      <x:c r="G67" s="93">
        <x:v>1</x:v>
      </x:c>
      <x:c r="H67" s="93">
        <x:v>1</x:v>
      </x:c>
      <x:c r="I67" s="93">
        <x:v>1</x:v>
      </x:c>
      <x:c r="J67" s="93"/>
    </x:row>
    <x:row r="68" spans="1:10" ht="16.5" customHeight="1">
      <x:c r="A68" s="91" t="s">
        <x:v>220</x:v>
      </x:c>
      <x:c r="B68" s="91" t="s">
        <x:v>393</x:v>
      </x:c>
      <x:c r="C68" s="91" t="s">
        <x:v>57</x:v>
      </x:c>
      <x:c r="D68" s="91" t="s">
        <x:v>100</x:v>
      </x:c>
      <x:c r="E68" s="91" t="s">
        <x:v>456</x:v>
      </x:c>
      <x:c r="F68" s="91" t="s">
        <x:v>467</x:v>
      </x:c>
      <x:c r="G68" s="93">
        <x:v>1.522</x:v>
      </x:c>
      <x:c r="H68" s="93">
        <x:v>1</x:v>
      </x:c>
      <x:c r="I68" s="93">
        <x:v>1.522</x:v>
      </x:c>
      <x:c r="J68" s="93"/>
    </x:row>
    <x:row r="69" spans="1:10" ht="16.5" customHeight="1">
      <x:c r="A69" s="91" t="s">
        <x:v>220</x:v>
      </x:c>
      <x:c r="B69" s="91" t="s">
        <x:v>400</x:v>
      </x:c>
      <x:c r="C69" s="91" t="s">
        <x:v>220</x:v>
      </x:c>
      <x:c r="D69" s="91" t="s">
        <x:v>100</x:v>
      </x:c>
      <x:c r="E69" s="91" t="s">
        <x:v>455</x:v>
      </x:c>
      <x:c r="F69" s="91" t="s">
        <x:v>230</x:v>
      </x:c>
      <x:c r="G69" s="93">
        <x:v>10.382999999999999</x:v>
      </x:c>
      <x:c r="H69" s="93">
        <x:v>1</x:v>
      </x:c>
      <x:c r="I69" s="93">
        <x:v>10.382999999999999</x:v>
      </x:c>
      <x:c r="J69" s="93"/>
    </x:row>
    <x:row r="70" spans="1:10" ht="16.5" customHeight="1">
      <x:c r="A70" s="90"/>
      <x:c r="B70" s="90"/>
      <x:c r="C70" s="90"/>
      <x:c r="D70" s="90"/>
      <x:c r="E70" s="90"/>
      <x:c r="F70" s="90"/>
      <x:c r="G70" s="92"/>
      <x:c r="H70" s="92"/>
      <x:c r="I70" s="92"/>
      <x:c r="J70" s="92"/>
    </x:row>
    <x:row r="71" spans="1:10" ht="16.5" customHeight="1">
      <x:c r="A71" s="90"/>
      <x:c r="B71" s="90"/>
      <x:c r="C71" s="90"/>
      <x:c r="D71" s="90"/>
      <x:c r="E71" s="90"/>
      <x:c r="F71" s="90"/>
      <x:c r="G71" s="92"/>
      <x:c r="H71" s="92"/>
      <x:c r="I71" s="92"/>
      <x:c r="J71" s="92"/>
    </x:row>
    <x:row r="72" spans="1:10" ht="16.5" customHeight="1">
      <x:c r="A72" s="90"/>
      <x:c r="B72" s="90"/>
      <x:c r="C72" s="90"/>
      <x:c r="D72" s="90"/>
      <x:c r="E72" s="90"/>
      <x:c r="F72" s="90"/>
      <x:c r="G72" s="92"/>
      <x:c r="H72" s="92"/>
      <x:c r="I72" s="92"/>
      <x:c r="J72" s="92"/>
    </x:row>
    <x:row r="73" spans="1:10" ht="16.5" customHeight="1">
      <x:c r="A73" s="90"/>
      <x:c r="B73" s="90"/>
      <x:c r="C73" s="90"/>
      <x:c r="D73" s="90"/>
      <x:c r="E73" s="90"/>
      <x:c r="F73" s="90"/>
      <x:c r="G73" s="92"/>
      <x:c r="H73" s="92"/>
      <x:c r="I73" s="92"/>
      <x:c r="J73" s="92"/>
    </x:row>
    <x:row r="74" spans="1:10" ht="16.5" customHeight="1">
      <x:c r="A74" s="90"/>
      <x:c r="B74" s="90"/>
      <x:c r="C74" s="90"/>
      <x:c r="D74" s="90"/>
      <x:c r="E74" s="90"/>
      <x:c r="F74" s="90"/>
      <x:c r="G74" s="92"/>
      <x:c r="H74" s="92"/>
      <x:c r="I74" s="92"/>
      <x:c r="J74" s="92"/>
    </x:row>
    <x:row r="75" spans="1:10" ht="16.5" customHeight="1">
      <x:c r="A75" s="90"/>
      <x:c r="B75" s="90"/>
      <x:c r="C75" s="90"/>
      <x:c r="D75" s="90"/>
      <x:c r="E75" s="90"/>
      <x:c r="F75" s="90"/>
      <x:c r="G75" s="92"/>
      <x:c r="H75" s="92"/>
      <x:c r="I75" s="92"/>
      <x:c r="J75" s="92"/>
    </x:row>
    <x:row r="76" spans="1:10" ht="16.5" customHeight="1">
      <x:c r="A76" s="90"/>
      <x:c r="B76" s="90"/>
      <x:c r="C76" s="90"/>
      <x:c r="D76" s="90"/>
      <x:c r="E76" s="90"/>
      <x:c r="F76" s="90"/>
      <x:c r="G76" s="92"/>
      <x:c r="H76" s="92"/>
      <x:c r="I76" s="92"/>
      <x:c r="J76" s="92"/>
    </x:row>
    <x:row r="77" spans="1:10" ht="16.5" customHeight="1">
      <x:c r="A77" s="90"/>
      <x:c r="B77" s="90"/>
      <x:c r="C77" s="90"/>
      <x:c r="D77" s="90"/>
      <x:c r="E77" s="90"/>
      <x:c r="F77" s="90"/>
      <x:c r="G77" s="92"/>
      <x:c r="H77" s="92"/>
      <x:c r="I77" s="92"/>
      <x:c r="J77" s="92"/>
    </x:row>
    <x:row r="78" spans="1:10" ht="16.5" customHeight="1">
      <x:c r="A78" s="90"/>
      <x:c r="B78" s="90"/>
      <x:c r="C78" s="90"/>
      <x:c r="D78" s="90"/>
      <x:c r="E78" s="90"/>
      <x:c r="F78" s="90"/>
      <x:c r="G78" s="92"/>
      <x:c r="H78" s="92"/>
      <x:c r="I78" s="92"/>
      <x:c r="J78" s="92"/>
    </x:row>
    <x:row r="79" spans="1:10" ht="16.5" customHeight="1">
      <x:c r="A79" s="90"/>
      <x:c r="B79" s="90"/>
      <x:c r="C79" s="90"/>
      <x:c r="D79" s="90"/>
      <x:c r="E79" s="90"/>
      <x:c r="F79" s="90"/>
      <x:c r="G79" s="92"/>
      <x:c r="H79" s="92"/>
      <x:c r="I79" s="92"/>
      <x:c r="J79" s="92"/>
    </x:row>
    <x:row r="80" spans="1:10" ht="16.5" customHeight="1">
      <x:c r="A80" s="90"/>
      <x:c r="B80" s="90"/>
      <x:c r="C80" s="90"/>
      <x:c r="D80" s="90"/>
      <x:c r="E80" s="90"/>
      <x:c r="F80" s="90"/>
      <x:c r="G80" s="92"/>
      <x:c r="H80" s="92"/>
      <x:c r="I80" s="92"/>
      <x:c r="J80" s="92"/>
    </x:row>
    <x:row r="81" spans="1:10" ht="16.5" customHeight="1">
      <x:c r="A81" s="90"/>
      <x:c r="B81" s="90"/>
      <x:c r="C81" s="90"/>
      <x:c r="D81" s="90"/>
      <x:c r="E81" s="90"/>
      <x:c r="F81" s="90"/>
      <x:c r="G81" s="92"/>
      <x:c r="H81" s="92"/>
      <x:c r="I81" s="92"/>
      <x:c r="J81" s="92"/>
    </x:row>
    <x:row r="82" spans="1:10" ht="16.5" customHeight="1">
      <x:c r="A82" s="90"/>
      <x:c r="B82" s="90"/>
      <x:c r="C82" s="90"/>
      <x:c r="D82" s="90"/>
      <x:c r="E82" s="90"/>
      <x:c r="F82" s="90"/>
      <x:c r="G82" s="92"/>
      <x:c r="H82" s="92"/>
      <x:c r="I82" s="92"/>
      <x:c r="J82" s="92"/>
    </x:row>
    <x:row r="83" spans="1:10" ht="16.5" customHeight="1">
      <x:c r="A83" s="90"/>
      <x:c r="B83" s="90"/>
      <x:c r="C83" s="90"/>
      <x:c r="D83" s="90"/>
      <x:c r="E83" s="90"/>
      <x:c r="F83" s="90"/>
      <x:c r="G83" s="92"/>
      <x:c r="H83" s="92"/>
      <x:c r="I83" s="92"/>
      <x:c r="J83" s="92"/>
    </x:row>
    <x:row r="84" spans="1:10" ht="16.5" customHeight="1">
      <x:c r="A84" s="90"/>
      <x:c r="B84" s="90"/>
      <x:c r="C84" s="90"/>
      <x:c r="D84" s="90"/>
      <x:c r="E84" s="90"/>
      <x:c r="F84" s="90"/>
      <x:c r="G84" s="92"/>
      <x:c r="H84" s="92"/>
      <x:c r="I84" s="92"/>
      <x:c r="J84" s="92"/>
    </x:row>
    <x:row r="85" spans="1:10" ht="16.5" customHeight="1">
      <x:c r="A85" s="90"/>
      <x:c r="B85" s="90"/>
      <x:c r="C85" s="90"/>
      <x:c r="D85" s="90"/>
      <x:c r="E85" s="90"/>
      <x:c r="F85" s="90"/>
      <x:c r="G85" s="92"/>
      <x:c r="H85" s="92"/>
      <x:c r="I85" s="92"/>
      <x:c r="J85" s="92"/>
    </x:row>
    <x:row r="86" spans="1:10" ht="16.5" customHeight="1">
      <x:c r="A86" s="90"/>
      <x:c r="B86" s="90"/>
      <x:c r="C86" s="90"/>
      <x:c r="D86" s="90"/>
      <x:c r="E86" s="90"/>
      <x:c r="F86" s="90"/>
      <x:c r="G86" s="92"/>
      <x:c r="H86" s="92"/>
      <x:c r="I86" s="92"/>
      <x:c r="J86" s="92"/>
    </x:row>
    <x:row r="87" spans="1:10" ht="16.5" customHeight="1">
      <x:c r="A87" s="90"/>
      <x:c r="B87" s="90"/>
      <x:c r="C87" s="90"/>
      <x:c r="D87" s="90"/>
      <x:c r="E87" s="90"/>
      <x:c r="F87" s="90"/>
      <x:c r="G87" s="92"/>
      <x:c r="H87" s="92"/>
      <x:c r="I87" s="92"/>
      <x:c r="J87" s="92"/>
    </x:row>
    <x:row r="88" spans="1:10" ht="16.5" customHeight="1">
      <x:c r="A88" s="90"/>
      <x:c r="B88" s="90"/>
      <x:c r="C88" s="90"/>
      <x:c r="D88" s="90"/>
      <x:c r="E88" s="90"/>
      <x:c r="F88" s="90"/>
      <x:c r="G88" s="92"/>
      <x:c r="H88" s="92"/>
      <x:c r="I88" s="92"/>
      <x:c r="J88" s="92"/>
    </x:row>
    <x:row r="89" spans="1:10" ht="16.5" customHeight="1">
      <x:c r="A89" s="90"/>
      <x:c r="B89" s="90"/>
      <x:c r="C89" s="90"/>
      <x:c r="D89" s="90"/>
      <x:c r="E89" s="90"/>
      <x:c r="F89" s="90"/>
      <x:c r="G89" s="92"/>
      <x:c r="H89" s="92"/>
      <x:c r="I89" s="92"/>
      <x:c r="J89" s="92"/>
    </x:row>
    <x:row r="90" spans="1:1" ht="16.5" customHeight="1">
      <x:c r="A90" s="87" t="s">
        <x:v>7</x:v>
      </x:c>
    </x:row>
    <x:row r="91" spans="1:10" ht="16.5" customHeight="1">
      <x:c r="A91" s="88" t="s">
        <x:v>111</x:v>
      </x:c>
      <x:c r="B91" s="88" t="s">
        <x:v>116</x:v>
      </x:c>
      <x:c r="C91" s="88" t="s">
        <x:v>115</x:v>
      </x:c>
      <x:c r="D91" s="88" t="s">
        <x:v>225</x:v>
      </x:c>
      <x:c r="E91" s="88" t="s">
        <x:v>110</x:v>
      </x:c>
      <x:c r="F91" s="88" t="s">
        <x:v>109</x:v>
      </x:c>
      <x:c r="G91" s="89" t="s">
        <x:v>108</x:v>
      </x:c>
      <x:c r="H91" s="89" t="s">
        <x:v>150</x:v>
      </x:c>
      <x:c r="I91" s="89" t="s">
        <x:v>156</x:v>
      </x:c>
      <x:c r="J91" s="89" t="s">
        <x:v>148</x:v>
      </x:c>
    </x:row>
    <x:row r="92" spans="1:10" ht="16.5" customHeight="1">
      <x:c r="A92" s="91" t="s">
        <x:v>457</x:v>
      </x:c>
      <x:c r="B92" s="91" t="s">
        <x:v>387</x:v>
      </x:c>
      <x:c r="C92" s="91" t="s">
        <x:v>47</x:v>
      </x:c>
      <x:c r="D92" s="91" t="s">
        <x:v>100</x:v>
      </x:c>
      <x:c r="E92" s="91" t="s">
        <x:v>220</x:v>
      </x:c>
      <x:c r="F92" s="91" t="s">
        <x:v>11</x:v>
      </x:c>
      <x:c r="G92" s="93">
        <x:v>162.571</x:v>
      </x:c>
      <x:c r="H92" s="93">
        <x:v>1</x:v>
      </x:c>
      <x:c r="I92" s="93">
        <x:v>162.571</x:v>
      </x:c>
      <x:c r="J92" s="93"/>
    </x:row>
    <x:row r="93" spans="1:10" ht="16.5" customHeight="1">
      <x:c r="A93" s="91" t="s">
        <x:v>220</x:v>
      </x:c>
      <x:c r="B93" s="91" t="s">
        <x:v>385</x:v>
      </x:c>
      <x:c r="C93" s="91" t="s">
        <x:v>360</x:v>
      </x:c>
      <x:c r="D93" s="91" t="s">
        <x:v>100</x:v>
      </x:c>
      <x:c r="E93" s="91" t="s">
        <x:v>220</x:v>
      </x:c>
      <x:c r="F93" s="91" t="s">
        <x:v>228</x:v>
      </x:c>
      <x:c r="G93" s="93">
        <x:v>28.149999999999999</x:v>
      </x:c>
      <x:c r="H93" s="93">
        <x:v>1</x:v>
      </x:c>
      <x:c r="I93" s="93">
        <x:v>28.149999999999999</x:v>
      </x:c>
      <x:c r="J93" s="93"/>
    </x:row>
    <x:row r="94" spans="1:10" ht="16.5" customHeight="1">
      <x:c r="A94" s="91" t="s">
        <x:v>220</x:v>
      </x:c>
      <x:c r="B94" s="91" t="s">
        <x:v>220</x:v>
      </x:c>
      <x:c r="C94" s="91" t="s">
        <x:v>220</x:v>
      </x:c>
      <x:c r="D94" s="91" t="s">
        <x:v>220</x:v>
      </x:c>
      <x:c r="E94" s="91" t="s">
        <x:v>220</x:v>
      </x:c>
      <x:c r="F94" s="91" t="s">
        <x:v>220</x:v>
      </x:c>
      <x:c r="G94" s="93"/>
      <x:c r="H94" s="93"/>
      <x:c r="I94" s="93"/>
      <x:c r="J94" s="93"/>
    </x:row>
    <x:row r="95" spans="1:10" ht="16.5" customHeight="1">
      <x:c r="A95" s="91" t="s">
        <x:v>220</x:v>
      </x:c>
      <x:c r="B95" s="91" t="s">
        <x:v>14</x:v>
      </x:c>
      <x:c r="C95" s="91" t="s">
        <x:v>328</x:v>
      </x:c>
      <x:c r="D95" s="91" t="s">
        <x:v>215</x:v>
      </x:c>
      <x:c r="E95" s="91" t="s">
        <x:v>220</x:v>
      </x:c>
      <x:c r="F95" s="91" t="s">
        <x:v>158</x:v>
      </x:c>
      <x:c r="G95" s="93">
        <x:v>1</x:v>
      </x:c>
      <x:c r="H95" s="93">
        <x:v>1</x:v>
      </x:c>
      <x:c r="I95" s="93">
        <x:v>1</x:v>
      </x:c>
      <x:c r="J95" s="93"/>
    </x:row>
    <x:row r="96" spans="1:10" ht="16.5" customHeight="1">
      <x:c r="A96" s="91" t="s">
        <x:v>220</x:v>
      </x:c>
      <x:c r="B96" s="91" t="s">
        <x:v>535</x:v>
      </x:c>
      <x:c r="C96" s="91" t="s">
        <x:v>528</x:v>
      </x:c>
      <x:c r="D96" s="91" t="s">
        <x:v>169</x:v>
      </x:c>
      <x:c r="E96" s="91" t="s">
        <x:v>220</x:v>
      </x:c>
      <x:c r="F96" s="91" t="s">
        <x:v>158</x:v>
      </x:c>
      <x:c r="G96" s="93">
        <x:v>1</x:v>
      </x:c>
      <x:c r="H96" s="93">
        <x:v>1</x:v>
      </x:c>
      <x:c r="I96" s="93">
        <x:v>1</x:v>
      </x:c>
      <x:c r="J96" s="93"/>
    </x:row>
    <x:row r="97" spans="1:10" ht="16.5" customHeight="1">
      <x:c r="A97" s="91" t="s">
        <x:v>220</x:v>
      </x:c>
      <x:c r="B97" s="91" t="s">
        <x:v>529</x:v>
      </x:c>
      <x:c r="C97" s="91" t="s">
        <x:v>244</x:v>
      </x:c>
      <x:c r="D97" s="91" t="s">
        <x:v>169</x:v>
      </x:c>
      <x:c r="E97" s="91" t="s">
        <x:v>220</x:v>
      </x:c>
      <x:c r="F97" s="91" t="s">
        <x:v>158</x:v>
      </x:c>
      <x:c r="G97" s="93">
        <x:v>1</x:v>
      </x:c>
      <x:c r="H97" s="93">
        <x:v>1</x:v>
      </x:c>
      <x:c r="I97" s="93">
        <x:v>1</x:v>
      </x:c>
      <x:c r="J97" s="93"/>
    </x:row>
    <x:row r="98" spans="1:10" ht="16.5" customHeight="1">
      <x:c r="A98" s="90"/>
      <x:c r="B98" s="90"/>
      <x:c r="C98" s="90"/>
      <x:c r="D98" s="90"/>
      <x:c r="E98" s="90"/>
      <x:c r="F98" s="90"/>
      <x:c r="G98" s="92"/>
      <x:c r="H98" s="92"/>
      <x:c r="I98" s="92"/>
      <x:c r="J98" s="92"/>
    </x:row>
    <x:row r="99" spans="1:10" ht="16.5" customHeight="1">
      <x:c r="A99" s="90"/>
      <x:c r="B99" s="90"/>
      <x:c r="C99" s="90"/>
      <x:c r="D99" s="90"/>
      <x:c r="E99" s="90"/>
      <x:c r="F99" s="90"/>
      <x:c r="G99" s="92"/>
      <x:c r="H99" s="92"/>
      <x:c r="I99" s="92"/>
      <x:c r="J99" s="92"/>
    </x:row>
    <x:row r="100" spans="1:10" ht="16.5" customHeight="1">
      <x:c r="A100" s="90"/>
      <x:c r="B100" s="90"/>
      <x:c r="C100" s="90"/>
      <x:c r="D100" s="90"/>
      <x:c r="E100" s="90"/>
      <x:c r="F100" s="90"/>
      <x:c r="G100" s="92"/>
      <x:c r="H100" s="92"/>
      <x:c r="I100" s="92"/>
      <x:c r="J100" s="92"/>
    </x:row>
    <x:row r="101" spans="1:10" ht="16.5" customHeight="1">
      <x:c r="A101" s="90"/>
      <x:c r="B101" s="90"/>
      <x:c r="C101" s="90"/>
      <x:c r="D101" s="90"/>
      <x:c r="E101" s="90"/>
      <x:c r="F101" s="90"/>
      <x:c r="G101" s="92"/>
      <x:c r="H101" s="92"/>
      <x:c r="I101" s="92"/>
      <x:c r="J101" s="92"/>
    </x:row>
    <x:row r="102" spans="1:10" ht="16.5" customHeight="1">
      <x:c r="A102" s="90"/>
      <x:c r="B102" s="90"/>
      <x:c r="C102" s="90"/>
      <x:c r="D102" s="90"/>
      <x:c r="E102" s="90"/>
      <x:c r="F102" s="90"/>
      <x:c r="G102" s="92"/>
      <x:c r="H102" s="92"/>
      <x:c r="I102" s="92"/>
      <x:c r="J102" s="92"/>
    </x:row>
    <x:row r="103" spans="1:10" ht="16.5" customHeight="1">
      <x:c r="A103" s="90"/>
      <x:c r="B103" s="90"/>
      <x:c r="C103" s="90"/>
      <x:c r="D103" s="90"/>
      <x:c r="E103" s="90"/>
      <x:c r="F103" s="90"/>
      <x:c r="G103" s="92"/>
      <x:c r="H103" s="92"/>
      <x:c r="I103" s="92"/>
      <x:c r="J103" s="92"/>
    </x:row>
    <x:row r="104" spans="1:10" ht="16.5" customHeight="1">
      <x:c r="A104" s="90"/>
      <x:c r="B104" s="90"/>
      <x:c r="C104" s="90"/>
      <x:c r="D104" s="90"/>
      <x:c r="E104" s="90"/>
      <x:c r="F104" s="90"/>
      <x:c r="G104" s="92"/>
      <x:c r="H104" s="92"/>
      <x:c r="I104" s="92"/>
      <x:c r="J104" s="92"/>
    </x:row>
    <x:row r="105" spans="1:10" ht="16.5" customHeight="1">
      <x:c r="A105" s="90"/>
      <x:c r="B105" s="90"/>
      <x:c r="C105" s="90"/>
      <x:c r="D105" s="90"/>
      <x:c r="E105" s="90"/>
      <x:c r="F105" s="90"/>
      <x:c r="G105" s="92"/>
      <x:c r="H105" s="92"/>
      <x:c r="I105" s="92"/>
      <x:c r="J105" s="92"/>
    </x:row>
    <x:row r="106" spans="1:10" ht="16.5" customHeight="1">
      <x:c r="A106" s="90"/>
      <x:c r="B106" s="90"/>
      <x:c r="C106" s="90"/>
      <x:c r="D106" s="90"/>
      <x:c r="E106" s="90"/>
      <x:c r="F106" s="90"/>
      <x:c r="G106" s="92"/>
      <x:c r="H106" s="92"/>
      <x:c r="I106" s="92"/>
      <x:c r="J106" s="92"/>
    </x:row>
    <x:row r="107" spans="1:10" ht="16.5" customHeight="1">
      <x:c r="A107" s="90"/>
      <x:c r="B107" s="90"/>
      <x:c r="C107" s="90"/>
      <x:c r="D107" s="90"/>
      <x:c r="E107" s="90"/>
      <x:c r="F107" s="90"/>
      <x:c r="G107" s="92"/>
      <x:c r="H107" s="92"/>
      <x:c r="I107" s="92"/>
      <x:c r="J107" s="92"/>
    </x:row>
    <x:row r="108" spans="1:10" ht="16.5" customHeight="1">
      <x:c r="A108" s="90"/>
      <x:c r="B108" s="90"/>
      <x:c r="C108" s="90"/>
      <x:c r="D108" s="90"/>
      <x:c r="E108" s="90"/>
      <x:c r="F108" s="90"/>
      <x:c r="G108" s="92"/>
      <x:c r="H108" s="92"/>
      <x:c r="I108" s="92"/>
      <x:c r="J108" s="92"/>
    </x:row>
    <x:row r="109" spans="1:10" ht="16.5" customHeight="1">
      <x:c r="A109" s="90"/>
      <x:c r="B109" s="90"/>
      <x:c r="C109" s="90"/>
      <x:c r="D109" s="90"/>
      <x:c r="E109" s="90"/>
      <x:c r="F109" s="90"/>
      <x:c r="G109" s="92"/>
      <x:c r="H109" s="92"/>
      <x:c r="I109" s="92"/>
      <x:c r="J109" s="92"/>
    </x:row>
    <x:row r="110" spans="1:10" ht="16.5" customHeight="1">
      <x:c r="A110" s="90"/>
      <x:c r="B110" s="90"/>
      <x:c r="C110" s="90"/>
      <x:c r="D110" s="90"/>
      <x:c r="E110" s="90"/>
      <x:c r="F110" s="90"/>
      <x:c r="G110" s="92"/>
      <x:c r="H110" s="92"/>
      <x:c r="I110" s="92"/>
      <x:c r="J110" s="92"/>
    </x:row>
    <x:row r="111" spans="1:10" ht="16.5" customHeight="1">
      <x:c r="A111" s="90"/>
      <x:c r="B111" s="90"/>
      <x:c r="C111" s="90"/>
      <x:c r="D111" s="90"/>
      <x:c r="E111" s="90"/>
      <x:c r="F111" s="90"/>
      <x:c r="G111" s="92"/>
      <x:c r="H111" s="92"/>
      <x:c r="I111" s="92"/>
      <x:c r="J111" s="92"/>
    </x:row>
    <x:row r="112" spans="1:10" ht="16.5" customHeight="1">
      <x:c r="A112" s="90"/>
      <x:c r="B112" s="90"/>
      <x:c r="C112" s="90"/>
      <x:c r="D112" s="90"/>
      <x:c r="E112" s="90"/>
      <x:c r="F112" s="90"/>
      <x:c r="G112" s="92"/>
      <x:c r="H112" s="92"/>
      <x:c r="I112" s="92"/>
      <x:c r="J112" s="92"/>
    </x:row>
    <x:row r="113" spans="1:10" ht="16.5" customHeight="1">
      <x:c r="A113" s="90"/>
      <x:c r="B113" s="90"/>
      <x:c r="C113" s="90"/>
      <x:c r="D113" s="90"/>
      <x:c r="E113" s="90"/>
      <x:c r="F113" s="90"/>
      <x:c r="G113" s="92"/>
      <x:c r="H113" s="92"/>
      <x:c r="I113" s="92"/>
      <x:c r="J113" s="92"/>
    </x:row>
    <x:row r="114" spans="1:10" ht="16.5" customHeight="1">
      <x:c r="A114" s="90"/>
      <x:c r="B114" s="90"/>
      <x:c r="C114" s="90"/>
      <x:c r="D114" s="90"/>
      <x:c r="E114" s="90"/>
      <x:c r="F114" s="90"/>
      <x:c r="G114" s="92"/>
      <x:c r="H114" s="92"/>
      <x:c r="I114" s="92"/>
      <x:c r="J114" s="92"/>
    </x:row>
    <x:row r="115" spans="1:10" ht="16.5" customHeight="1">
      <x:c r="A115" s="90"/>
      <x:c r="B115" s="90"/>
      <x:c r="C115" s="90"/>
      <x:c r="D115" s="90"/>
      <x:c r="E115" s="90"/>
      <x:c r="F115" s="90"/>
      <x:c r="G115" s="92"/>
      <x:c r="H115" s="92"/>
      <x:c r="I115" s="92"/>
      <x:c r="J115" s="92"/>
    </x:row>
    <x:row r="116" spans="1:10" ht="16.5" customHeight="1">
      <x:c r="A116" s="90"/>
      <x:c r="B116" s="90"/>
      <x:c r="C116" s="90"/>
      <x:c r="D116" s="90"/>
      <x:c r="E116" s="90"/>
      <x:c r="F116" s="90"/>
      <x:c r="G116" s="92"/>
      <x:c r="H116" s="92"/>
      <x:c r="I116" s="92"/>
      <x:c r="J116" s="92"/>
    </x:row>
    <x:row r="117" spans="1:10" ht="16.5" customHeight="1">
      <x:c r="A117" s="90"/>
      <x:c r="B117" s="90"/>
      <x:c r="C117" s="90"/>
      <x:c r="D117" s="90"/>
      <x:c r="E117" s="90"/>
      <x:c r="F117" s="90"/>
      <x:c r="G117" s="92"/>
      <x:c r="H117" s="92"/>
      <x:c r="I117" s="92"/>
      <x:c r="J117" s="92"/>
    </x:row>
    <x:row r="118" spans="1:10" ht="16.5" customHeight="1">
      <x:c r="A118" s="90"/>
      <x:c r="B118" s="90"/>
      <x:c r="C118" s="90"/>
      <x:c r="D118" s="90"/>
      <x:c r="E118" s="90"/>
      <x:c r="F118" s="90"/>
      <x:c r="G118" s="92"/>
      <x:c r="H118" s="92"/>
      <x:c r="I118" s="92"/>
      <x:c r="J118" s="92"/>
    </x:row>
    <x:row r="119" spans="1:10" ht="16.5" customHeight="1">
      <x:c r="A119" s="90"/>
      <x:c r="B119" s="90"/>
      <x:c r="C119" s="90"/>
      <x:c r="D119" s="90"/>
      <x:c r="E119" s="90"/>
      <x:c r="F119" s="90"/>
      <x:c r="G119" s="92"/>
      <x:c r="H119" s="92"/>
      <x:c r="I119" s="92"/>
      <x:c r="J119" s="92"/>
    </x:row>
  </x:sheetData>
  <x:mergeCells count="1">
    <x:mergeCell ref="A1:J1"/>
  </x:mergeCells>
  <x:pageMargins left="0.39361110329627991" right="0" top="0.39361110329627991" bottom="0.39361110329627991" header="0" footer="0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1" baseType="lpstr">
      <vt:lpstr>원가계산서</vt:lpstr>
      <vt:lpstr>집계표</vt:lpstr>
      <vt:lpstr>내역서</vt:lpstr>
      <vt:lpstr>일위대가목록</vt:lpstr>
      <vt:lpstr>일위대가표</vt:lpstr>
      <vt:lpstr>중기경비목록</vt:lpstr>
      <vt:lpstr>중기경비</vt:lpstr>
      <vt:lpstr>자재단가대비표</vt:lpstr>
      <vt:lpstr>마감표지</vt:lpstr>
      <vt:lpstr>1. 내,외부마감및보수공사-공종별집계표</vt:lpstr>
      <vt:lpstr>1. 내,외부마감및보수공사-물량산출서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2015-10-01T05:07:44.336</cp:lastPrinted>
  <dcterms:created xsi:type="dcterms:W3CDTF">2015-06-23T08:38:08.000</dcterms:created>
  <dcterms:modified xsi:type="dcterms:W3CDTF">2015-10-01T05:08:40.792</dcterms:modified>
</cp:coreProperties>
</file>