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9615" windowHeight="7545" tabRatio="692" firstSheet="4" activeTab="4"/>
  </bookViews>
  <sheets>
    <sheet name="Sheet1" sheetId="1" state="hidden" r:id="rId1"/>
    <sheet name="Sheet1 (3)" sheetId="7" state="hidden" r:id="rId2"/>
    <sheet name="Sheet1 (2)" sheetId="4" state="hidden" r:id="rId3"/>
    <sheet name="Sheet3" sheetId="3" state="hidden" r:id="rId4"/>
    <sheet name="예산 배정" sheetId="17" r:id="rId5"/>
    <sheet name="평가 내역" sheetId="16" state="hidden" r:id="rId6"/>
    <sheet name="예산 배정 5050" sheetId="12" state="hidden" r:id="rId7"/>
    <sheet name="평가 내역 세부자료" sheetId="18" r:id="rId8"/>
    <sheet name="총수신고" sheetId="8" r:id="rId9"/>
    <sheet name="체크카드" sheetId="10" r:id="rId10"/>
    <sheet name="스마트금융" sheetId="11" r:id="rId11"/>
    <sheet name="예산 배정 (2)" sheetId="14" state="hidden" r:id="rId12"/>
    <sheet name="Sheet8" sheetId="13" state="hidden" r:id="rId13"/>
  </sheets>
  <externalReferences>
    <externalReference r:id="rId14"/>
  </externalReferences>
  <definedNames>
    <definedName name="_xlnm.Print_Area" localSheetId="12">Sheet8!$A$1:$C$45</definedName>
    <definedName name="_xlnm.Print_Area" localSheetId="4">'예산 배정'!$A$1:$F$47</definedName>
    <definedName name="_xlnm.Print_Area" localSheetId="5">'평가 내역'!$A$1:$AA$46</definedName>
    <definedName name="_xlnm.Print_Area" localSheetId="7">'평가 내역 세부자료'!$A$1:$AA$46</definedName>
  </definedNames>
  <calcPr calcId="124519"/>
</workbook>
</file>

<file path=xl/calcChain.xml><?xml version="1.0" encoding="utf-8"?>
<calcChain xmlns="http://schemas.openxmlformats.org/spreadsheetml/2006/main">
  <c r="I13" i="13"/>
  <c r="I11"/>
  <c r="I4"/>
  <c r="I5"/>
  <c r="I6"/>
  <c r="I7"/>
  <c r="I8"/>
  <c r="I9"/>
  <c r="I10"/>
  <c r="I3"/>
  <c r="G8"/>
  <c r="G9"/>
  <c r="G10"/>
  <c r="G4"/>
  <c r="G5"/>
  <c r="G6"/>
  <c r="G7"/>
  <c r="G3"/>
  <c r="C7" i="17"/>
  <c r="D7"/>
  <c r="C8"/>
  <c r="D8"/>
  <c r="C9"/>
  <c r="D9"/>
  <c r="C10"/>
  <c r="E10" s="1"/>
  <c r="D10"/>
  <c r="C11"/>
  <c r="D11"/>
  <c r="C12"/>
  <c r="E12" s="1"/>
  <c r="D12"/>
  <c r="C13"/>
  <c r="E13" s="1"/>
  <c r="D13"/>
  <c r="C14"/>
  <c r="E14" s="1"/>
  <c r="D14"/>
  <c r="C15"/>
  <c r="D15"/>
  <c r="C16"/>
  <c r="E16" s="1"/>
  <c r="D16"/>
  <c r="C17"/>
  <c r="D17"/>
  <c r="C18"/>
  <c r="E18" s="1"/>
  <c r="D18"/>
  <c r="C19"/>
  <c r="D19"/>
  <c r="C20"/>
  <c r="E20" s="1"/>
  <c r="D20"/>
  <c r="C21"/>
  <c r="D21"/>
  <c r="C22"/>
  <c r="E22" s="1"/>
  <c r="D22"/>
  <c r="C23"/>
  <c r="D23"/>
  <c r="C24"/>
  <c r="E24" s="1"/>
  <c r="D24"/>
  <c r="C25"/>
  <c r="D25"/>
  <c r="C26"/>
  <c r="E26" s="1"/>
  <c r="D26"/>
  <c r="C27"/>
  <c r="D27"/>
  <c r="C28"/>
  <c r="E28" s="1"/>
  <c r="D28"/>
  <c r="C29"/>
  <c r="E29" s="1"/>
  <c r="D29"/>
  <c r="C30"/>
  <c r="E30" s="1"/>
  <c r="D30"/>
  <c r="C31"/>
  <c r="D31"/>
  <c r="C32"/>
  <c r="E32" s="1"/>
  <c r="D32"/>
  <c r="C33"/>
  <c r="D33"/>
  <c r="C34"/>
  <c r="E34" s="1"/>
  <c r="D34"/>
  <c r="C35"/>
  <c r="D35"/>
  <c r="C36"/>
  <c r="E36" s="1"/>
  <c r="D36"/>
  <c r="C37"/>
  <c r="D37"/>
  <c r="C38"/>
  <c r="E38" s="1"/>
  <c r="D38"/>
  <c r="C39"/>
  <c r="D39"/>
  <c r="C40"/>
  <c r="E40" s="1"/>
  <c r="D40"/>
  <c r="C41"/>
  <c r="D41"/>
  <c r="C42"/>
  <c r="E42" s="1"/>
  <c r="D42"/>
  <c r="C43"/>
  <c r="D43"/>
  <c r="C44"/>
  <c r="E44" s="1"/>
  <c r="D44"/>
  <c r="C45"/>
  <c r="D45"/>
  <c r="C46"/>
  <c r="D46"/>
  <c r="D6"/>
  <c r="C6"/>
  <c r="E8"/>
  <c r="AA46" i="18"/>
  <c r="Z46"/>
  <c r="S44"/>
  <c r="R44"/>
  <c r="M44"/>
  <c r="L44"/>
  <c r="G44"/>
  <c r="F44"/>
  <c r="C44"/>
  <c r="B44"/>
  <c r="S43"/>
  <c r="R43"/>
  <c r="M43"/>
  <c r="L43"/>
  <c r="G43"/>
  <c r="F43"/>
  <c r="C43"/>
  <c r="B43"/>
  <c r="S42"/>
  <c r="R42"/>
  <c r="T42" s="1"/>
  <c r="M42"/>
  <c r="L42"/>
  <c r="G42"/>
  <c r="F42"/>
  <c r="C42"/>
  <c r="B42"/>
  <c r="S41"/>
  <c r="R41"/>
  <c r="M41"/>
  <c r="L41"/>
  <c r="G41"/>
  <c r="F41"/>
  <c r="C41"/>
  <c r="B41"/>
  <c r="S40"/>
  <c r="R40"/>
  <c r="M40"/>
  <c r="L40"/>
  <c r="G40"/>
  <c r="F40"/>
  <c r="C40"/>
  <c r="B40"/>
  <c r="S39"/>
  <c r="R39"/>
  <c r="M39"/>
  <c r="L39"/>
  <c r="G39"/>
  <c r="F39"/>
  <c r="C39"/>
  <c r="B39"/>
  <c r="S38"/>
  <c r="R38"/>
  <c r="M38"/>
  <c r="L38"/>
  <c r="G38"/>
  <c r="F38"/>
  <c r="C38"/>
  <c r="B38"/>
  <c r="S37"/>
  <c r="R37"/>
  <c r="M37"/>
  <c r="L37"/>
  <c r="G37"/>
  <c r="F37"/>
  <c r="C37"/>
  <c r="B37"/>
  <c r="S36"/>
  <c r="R36"/>
  <c r="M36"/>
  <c r="L36"/>
  <c r="G36"/>
  <c r="F36"/>
  <c r="C36"/>
  <c r="B36"/>
  <c r="S35"/>
  <c r="R35"/>
  <c r="M35"/>
  <c r="L35"/>
  <c r="G35"/>
  <c r="F35"/>
  <c r="C35"/>
  <c r="B35"/>
  <c r="S34"/>
  <c r="R34"/>
  <c r="M34"/>
  <c r="L34"/>
  <c r="G34"/>
  <c r="F34"/>
  <c r="C34"/>
  <c r="B34"/>
  <c r="S33"/>
  <c r="R33"/>
  <c r="M33"/>
  <c r="L33"/>
  <c r="G33"/>
  <c r="F33"/>
  <c r="C33"/>
  <c r="B33"/>
  <c r="S32"/>
  <c r="R32"/>
  <c r="M32"/>
  <c r="L32"/>
  <c r="G32"/>
  <c r="F32"/>
  <c r="C32"/>
  <c r="B32"/>
  <c r="S31"/>
  <c r="T31" s="1"/>
  <c r="R31"/>
  <c r="M31"/>
  <c r="L31"/>
  <c r="G31"/>
  <c r="F31"/>
  <c r="C31"/>
  <c r="B31"/>
  <c r="S30"/>
  <c r="R30"/>
  <c r="M30"/>
  <c r="L30"/>
  <c r="G30"/>
  <c r="F30"/>
  <c r="C30"/>
  <c r="B30"/>
  <c r="S29"/>
  <c r="R29"/>
  <c r="M29"/>
  <c r="L29"/>
  <c r="G29"/>
  <c r="F29"/>
  <c r="C29"/>
  <c r="B29"/>
  <c r="S28"/>
  <c r="R28"/>
  <c r="M28"/>
  <c r="L28"/>
  <c r="G28"/>
  <c r="F28"/>
  <c r="H28" s="1"/>
  <c r="D28"/>
  <c r="C28"/>
  <c r="B28"/>
  <c r="S27"/>
  <c r="R27"/>
  <c r="M27"/>
  <c r="L27"/>
  <c r="G27"/>
  <c r="F27"/>
  <c r="C27"/>
  <c r="B27"/>
  <c r="S26"/>
  <c r="R26"/>
  <c r="M26"/>
  <c r="L26"/>
  <c r="G26"/>
  <c r="F26"/>
  <c r="C26"/>
  <c r="B26"/>
  <c r="S25"/>
  <c r="R25"/>
  <c r="M25"/>
  <c r="L25"/>
  <c r="G25"/>
  <c r="F25"/>
  <c r="C25"/>
  <c r="B25"/>
  <c r="D25" s="1"/>
  <c r="S24"/>
  <c r="T24" s="1"/>
  <c r="R24"/>
  <c r="M24"/>
  <c r="L24"/>
  <c r="G24"/>
  <c r="F24"/>
  <c r="C24"/>
  <c r="B24"/>
  <c r="S23"/>
  <c r="T23" s="1"/>
  <c r="R23"/>
  <c r="M23"/>
  <c r="L23"/>
  <c r="G23"/>
  <c r="H23" s="1"/>
  <c r="F23"/>
  <c r="C23"/>
  <c r="B23"/>
  <c r="S22"/>
  <c r="R22"/>
  <c r="M22"/>
  <c r="L22"/>
  <c r="G22"/>
  <c r="F22"/>
  <c r="C22"/>
  <c r="B22"/>
  <c r="S21"/>
  <c r="R21"/>
  <c r="M21"/>
  <c r="L21"/>
  <c r="G21"/>
  <c r="F21"/>
  <c r="C21"/>
  <c r="B21"/>
  <c r="S20"/>
  <c r="R20"/>
  <c r="M20"/>
  <c r="L20"/>
  <c r="G20"/>
  <c r="H20" s="1"/>
  <c r="F20"/>
  <c r="C20"/>
  <c r="D20" s="1"/>
  <c r="B20"/>
  <c r="S19"/>
  <c r="R19"/>
  <c r="M19"/>
  <c r="L19"/>
  <c r="G19"/>
  <c r="F19"/>
  <c r="C19"/>
  <c r="B19"/>
  <c r="S18"/>
  <c r="R18"/>
  <c r="M18"/>
  <c r="L18"/>
  <c r="G18"/>
  <c r="F18"/>
  <c r="C18"/>
  <c r="D18" s="1"/>
  <c r="B18"/>
  <c r="S17"/>
  <c r="R17"/>
  <c r="M17"/>
  <c r="L17"/>
  <c r="G17"/>
  <c r="F17"/>
  <c r="C17"/>
  <c r="D17" s="1"/>
  <c r="B17"/>
  <c r="S16"/>
  <c r="R16"/>
  <c r="M16"/>
  <c r="L16"/>
  <c r="G16"/>
  <c r="F16"/>
  <c r="C16"/>
  <c r="B16"/>
  <c r="S15"/>
  <c r="R15"/>
  <c r="M15"/>
  <c r="L15"/>
  <c r="G15"/>
  <c r="F15"/>
  <c r="C15"/>
  <c r="B15"/>
  <c r="S14"/>
  <c r="R14"/>
  <c r="M14"/>
  <c r="L14"/>
  <c r="G14"/>
  <c r="F14"/>
  <c r="C14"/>
  <c r="B14"/>
  <c r="S13"/>
  <c r="R13"/>
  <c r="M13"/>
  <c r="L13"/>
  <c r="G13"/>
  <c r="H13" s="1"/>
  <c r="F13"/>
  <c r="C13"/>
  <c r="B13"/>
  <c r="S12"/>
  <c r="T12" s="1"/>
  <c r="R12"/>
  <c r="M12"/>
  <c r="L12"/>
  <c r="H12"/>
  <c r="G12"/>
  <c r="F12"/>
  <c r="C12"/>
  <c r="B12"/>
  <c r="S11"/>
  <c r="R11"/>
  <c r="M11"/>
  <c r="L11"/>
  <c r="G11"/>
  <c r="F11"/>
  <c r="C11"/>
  <c r="B11"/>
  <c r="S10"/>
  <c r="R10"/>
  <c r="M10"/>
  <c r="L10"/>
  <c r="G10"/>
  <c r="F10"/>
  <c r="C10"/>
  <c r="B10"/>
  <c r="S9"/>
  <c r="R9"/>
  <c r="M9"/>
  <c r="L9"/>
  <c r="G9"/>
  <c r="F9"/>
  <c r="C9"/>
  <c r="B9"/>
  <c r="S8"/>
  <c r="R8"/>
  <c r="M8"/>
  <c r="L8"/>
  <c r="G8"/>
  <c r="F8"/>
  <c r="C8"/>
  <c r="B8"/>
  <c r="S7"/>
  <c r="R7"/>
  <c r="M7"/>
  <c r="L7"/>
  <c r="G7"/>
  <c r="F7"/>
  <c r="C7"/>
  <c r="B7"/>
  <c r="S6"/>
  <c r="R6"/>
  <c r="T6" s="1"/>
  <c r="M6"/>
  <c r="L6"/>
  <c r="G6"/>
  <c r="F6"/>
  <c r="C6"/>
  <c r="B6"/>
  <c r="S5"/>
  <c r="R5"/>
  <c r="M5"/>
  <c r="L5"/>
  <c r="G5"/>
  <c r="F5"/>
  <c r="C5"/>
  <c r="B5"/>
  <c r="F46" l="1"/>
  <c r="R46"/>
  <c r="T28"/>
  <c r="T29"/>
  <c r="H30"/>
  <c r="H31"/>
  <c r="D5"/>
  <c r="M46"/>
  <c r="N12"/>
  <c r="H25"/>
  <c r="T25"/>
  <c r="D36"/>
  <c r="D37"/>
  <c r="D43"/>
  <c r="H5"/>
  <c r="H7"/>
  <c r="H8"/>
  <c r="J5" s="1"/>
  <c r="H9"/>
  <c r="H17"/>
  <c r="T19"/>
  <c r="T22"/>
  <c r="N28"/>
  <c r="N29"/>
  <c r="H32"/>
  <c r="T32"/>
  <c r="T41"/>
  <c r="S46"/>
  <c r="N20"/>
  <c r="N21"/>
  <c r="D42"/>
  <c r="N5"/>
  <c r="B46"/>
  <c r="T5"/>
  <c r="V23" s="1"/>
  <c r="H6"/>
  <c r="T11"/>
  <c r="N13"/>
  <c r="N14"/>
  <c r="T20"/>
  <c r="T21"/>
  <c r="H22"/>
  <c r="D26"/>
  <c r="N36"/>
  <c r="N37"/>
  <c r="H42"/>
  <c r="D9"/>
  <c r="O9"/>
  <c r="D10"/>
  <c r="T13"/>
  <c r="H14"/>
  <c r="T14"/>
  <c r="H15"/>
  <c r="H16"/>
  <c r="H19"/>
  <c r="D24"/>
  <c r="H26"/>
  <c r="T26"/>
  <c r="D29"/>
  <c r="D31"/>
  <c r="H33"/>
  <c r="T33"/>
  <c r="T34"/>
  <c r="H36"/>
  <c r="T36"/>
  <c r="H37"/>
  <c r="T37"/>
  <c r="H38"/>
  <c r="H39"/>
  <c r="T39"/>
  <c r="T40"/>
  <c r="T46"/>
  <c r="O35"/>
  <c r="G46"/>
  <c r="N10"/>
  <c r="T15"/>
  <c r="O17"/>
  <c r="H29"/>
  <c r="D35"/>
  <c r="T38"/>
  <c r="O40"/>
  <c r="O43"/>
  <c r="O44"/>
  <c r="L46"/>
  <c r="N46" s="1"/>
  <c r="N8"/>
  <c r="T9"/>
  <c r="H10"/>
  <c r="T10"/>
  <c r="H11"/>
  <c r="O13"/>
  <c r="D14"/>
  <c r="O14"/>
  <c r="N16"/>
  <c r="N17"/>
  <c r="N18"/>
  <c r="H21"/>
  <c r="H24"/>
  <c r="O26"/>
  <c r="D27"/>
  <c r="O29"/>
  <c r="D30"/>
  <c r="N30"/>
  <c r="D33"/>
  <c r="D34"/>
  <c r="H35"/>
  <c r="T35"/>
  <c r="O37"/>
  <c r="D38"/>
  <c r="O38"/>
  <c r="D39"/>
  <c r="O39"/>
  <c r="D40"/>
  <c r="H41"/>
  <c r="D44"/>
  <c r="N44"/>
  <c r="C46"/>
  <c r="O10"/>
  <c r="O41"/>
  <c r="T7"/>
  <c r="N9"/>
  <c r="O18"/>
  <c r="O27"/>
  <c r="N31"/>
  <c r="O34"/>
  <c r="D41"/>
  <c r="O5"/>
  <c r="D6"/>
  <c r="O7"/>
  <c r="T8"/>
  <c r="D13"/>
  <c r="T16"/>
  <c r="T17"/>
  <c r="H18"/>
  <c r="T18"/>
  <c r="D21"/>
  <c r="O21"/>
  <c r="D22"/>
  <c r="H27"/>
  <c r="T27"/>
  <c r="O28"/>
  <c r="T30"/>
  <c r="D32"/>
  <c r="H34"/>
  <c r="O36"/>
  <c r="H40"/>
  <c r="O42"/>
  <c r="H43"/>
  <c r="T43"/>
  <c r="H44"/>
  <c r="T44"/>
  <c r="E41" i="17"/>
  <c r="E37"/>
  <c r="E33"/>
  <c r="E25"/>
  <c r="E21"/>
  <c r="E17"/>
  <c r="E9"/>
  <c r="E46"/>
  <c r="D47"/>
  <c r="E45"/>
  <c r="E43"/>
  <c r="E39"/>
  <c r="E35"/>
  <c r="E31"/>
  <c r="E27"/>
  <c r="E23"/>
  <c r="E19"/>
  <c r="E15"/>
  <c r="E11"/>
  <c r="E7"/>
  <c r="C47"/>
  <c r="G11" i="13"/>
  <c r="G13" s="1"/>
  <c r="N6" i="18"/>
  <c r="O12"/>
  <c r="O16"/>
  <c r="O20"/>
  <c r="N22"/>
  <c r="N24"/>
  <c r="U24"/>
  <c r="N25"/>
  <c r="N32"/>
  <c r="U32"/>
  <c r="N33"/>
  <c r="N40"/>
  <c r="U40"/>
  <c r="N41"/>
  <c r="O8"/>
  <c r="D7"/>
  <c r="N7"/>
  <c r="D11"/>
  <c r="N11"/>
  <c r="D15"/>
  <c r="N15"/>
  <c r="D19"/>
  <c r="N19"/>
  <c r="D23"/>
  <c r="N23"/>
  <c r="U30"/>
  <c r="N38"/>
  <c r="U38"/>
  <c r="N39"/>
  <c r="O45"/>
  <c r="O6"/>
  <c r="D8"/>
  <c r="D12"/>
  <c r="D16"/>
  <c r="O22"/>
  <c r="O24"/>
  <c r="O25"/>
  <c r="U28"/>
  <c r="O32"/>
  <c r="O33"/>
  <c r="U36"/>
  <c r="U44"/>
  <c r="O11"/>
  <c r="O15"/>
  <c r="O19"/>
  <c r="O23"/>
  <c r="N26"/>
  <c r="U26"/>
  <c r="N27"/>
  <c r="O30"/>
  <c r="O31"/>
  <c r="N34"/>
  <c r="U34"/>
  <c r="N35"/>
  <c r="N42"/>
  <c r="U42"/>
  <c r="N43"/>
  <c r="E6" i="17"/>
  <c r="I5" i="18"/>
  <c r="I45"/>
  <c r="U45"/>
  <c r="U5"/>
  <c r="U6"/>
  <c r="I7"/>
  <c r="I8"/>
  <c r="U8"/>
  <c r="I9"/>
  <c r="U10"/>
  <c r="U11"/>
  <c r="I13"/>
  <c r="I14"/>
  <c r="I15"/>
  <c r="I16"/>
  <c r="I17"/>
  <c r="I18"/>
  <c r="I19"/>
  <c r="I20"/>
  <c r="I21"/>
  <c r="I22"/>
  <c r="I23"/>
  <c r="I31"/>
  <c r="I33"/>
  <c r="I35"/>
  <c r="I41"/>
  <c r="U23"/>
  <c r="U25"/>
  <c r="U27"/>
  <c r="U29"/>
  <c r="U31"/>
  <c r="U33"/>
  <c r="U35"/>
  <c r="U37"/>
  <c r="U39"/>
  <c r="U41"/>
  <c r="U43"/>
  <c r="I6"/>
  <c r="U7"/>
  <c r="U9"/>
  <c r="I10"/>
  <c r="I11"/>
  <c r="I12"/>
  <c r="U12"/>
  <c r="U13"/>
  <c r="U14"/>
  <c r="U15"/>
  <c r="U16"/>
  <c r="U17"/>
  <c r="U18"/>
  <c r="U19"/>
  <c r="U20"/>
  <c r="U21"/>
  <c r="U22"/>
  <c r="I25"/>
  <c r="I27"/>
  <c r="I29"/>
  <c r="I37"/>
  <c r="I39"/>
  <c r="I43"/>
  <c r="I24"/>
  <c r="I26"/>
  <c r="I28"/>
  <c r="I30"/>
  <c r="I32"/>
  <c r="I34"/>
  <c r="I36"/>
  <c r="I38"/>
  <c r="I40"/>
  <c r="I42"/>
  <c r="I44"/>
  <c r="P21" l="1"/>
  <c r="Q21" s="1"/>
  <c r="V6"/>
  <c r="J6"/>
  <c r="K5"/>
  <c r="J22"/>
  <c r="J25"/>
  <c r="K25" s="1"/>
  <c r="P13"/>
  <c r="Q13" s="1"/>
  <c r="J44"/>
  <c r="J40"/>
  <c r="V30"/>
  <c r="J18"/>
  <c r="V34"/>
  <c r="W34" s="1"/>
  <c r="V12"/>
  <c r="P5"/>
  <c r="Q5" s="1"/>
  <c r="V18"/>
  <c r="H46"/>
  <c r="V39"/>
  <c r="V33"/>
  <c r="W33" s="1"/>
  <c r="V26"/>
  <c r="W26" s="1"/>
  <c r="E13"/>
  <c r="V35"/>
  <c r="J24"/>
  <c r="K24" s="1"/>
  <c r="V44"/>
  <c r="W44" s="1"/>
  <c r="V36"/>
  <c r="W36" s="1"/>
  <c r="V28"/>
  <c r="W28" s="1"/>
  <c r="W23"/>
  <c r="V42"/>
  <c r="W42" s="1"/>
  <c r="V38"/>
  <c r="E20"/>
  <c r="D46"/>
  <c r="W38"/>
  <c r="E15"/>
  <c r="J17"/>
  <c r="J41"/>
  <c r="J35"/>
  <c r="J11"/>
  <c r="P9"/>
  <c r="Q9" s="1"/>
  <c r="V40"/>
  <c r="W40" s="1"/>
  <c r="V32"/>
  <c r="W32" s="1"/>
  <c r="V24"/>
  <c r="W24" s="1"/>
  <c r="V43"/>
  <c r="V37"/>
  <c r="J27"/>
  <c r="K27" s="1"/>
  <c r="V10"/>
  <c r="J39"/>
  <c r="J9"/>
  <c r="K9" s="1"/>
  <c r="J43"/>
  <c r="J15"/>
  <c r="J34"/>
  <c r="V16"/>
  <c r="W16" s="1"/>
  <c r="E10"/>
  <c r="V14"/>
  <c r="J7"/>
  <c r="W35"/>
  <c r="K35"/>
  <c r="J31"/>
  <c r="J23"/>
  <c r="V19"/>
  <c r="W19" s="1"/>
  <c r="V13"/>
  <c r="W13" s="1"/>
  <c r="V9"/>
  <c r="V45"/>
  <c r="V31"/>
  <c r="W31" s="1"/>
  <c r="J37"/>
  <c r="J21"/>
  <c r="K21" s="1"/>
  <c r="J16"/>
  <c r="K16" s="1"/>
  <c r="V11"/>
  <c r="V7"/>
  <c r="W7" s="1"/>
  <c r="E45"/>
  <c r="W30"/>
  <c r="K34"/>
  <c r="P17"/>
  <c r="Q17" s="1"/>
  <c r="J45"/>
  <c r="K45" s="1"/>
  <c r="K39"/>
  <c r="V29"/>
  <c r="V25"/>
  <c r="J33"/>
  <c r="K33" s="1"/>
  <c r="V20"/>
  <c r="W20" s="1"/>
  <c r="V17"/>
  <c r="W17" s="1"/>
  <c r="J14"/>
  <c r="J10"/>
  <c r="K10" s="1"/>
  <c r="V5"/>
  <c r="J42"/>
  <c r="K42" s="1"/>
  <c r="J38"/>
  <c r="K38" s="1"/>
  <c r="J30"/>
  <c r="K30" s="1"/>
  <c r="J26"/>
  <c r="K26" s="1"/>
  <c r="V41"/>
  <c r="W41" s="1"/>
  <c r="V21"/>
  <c r="J12"/>
  <c r="K12" s="1"/>
  <c r="J8"/>
  <c r="E5"/>
  <c r="P42"/>
  <c r="Q42" s="1"/>
  <c r="P26"/>
  <c r="Q26" s="1"/>
  <c r="P19"/>
  <c r="Q19" s="1"/>
  <c r="P6"/>
  <c r="Q6" s="1"/>
  <c r="W21"/>
  <c r="W11"/>
  <c r="K44"/>
  <c r="K40"/>
  <c r="V27"/>
  <c r="W27" s="1"/>
  <c r="W18"/>
  <c r="W14"/>
  <c r="K6"/>
  <c r="J29"/>
  <c r="K29" s="1"/>
  <c r="V22"/>
  <c r="W22" s="1"/>
  <c r="J19"/>
  <c r="K19" s="1"/>
  <c r="V15"/>
  <c r="J13"/>
  <c r="K13" s="1"/>
  <c r="V8"/>
  <c r="J36"/>
  <c r="K36" s="1"/>
  <c r="J32"/>
  <c r="K32" s="1"/>
  <c r="J28"/>
  <c r="K28" s="1"/>
  <c r="J20"/>
  <c r="P37"/>
  <c r="Q37" s="1"/>
  <c r="E47" i="17"/>
  <c r="P28" i="18"/>
  <c r="Q28" s="1"/>
  <c r="P31"/>
  <c r="Q31" s="1"/>
  <c r="P15"/>
  <c r="Q15" s="1"/>
  <c r="P11"/>
  <c r="Q11" s="1"/>
  <c r="P7"/>
  <c r="Q7" s="1"/>
  <c r="E44"/>
  <c r="E40"/>
  <c r="E38"/>
  <c r="P24"/>
  <c r="Q24" s="1"/>
  <c r="E42"/>
  <c r="E36"/>
  <c r="E34"/>
  <c r="E24"/>
  <c r="K17"/>
  <c r="W8"/>
  <c r="E23"/>
  <c r="E7"/>
  <c r="E18"/>
  <c r="E17"/>
  <c r="E12"/>
  <c r="P43"/>
  <c r="Q43" s="1"/>
  <c r="P27"/>
  <c r="Q27" s="1"/>
  <c r="P44"/>
  <c r="Q44" s="1"/>
  <c r="E8"/>
  <c r="P23"/>
  <c r="Q23" s="1"/>
  <c r="P32"/>
  <c r="Q32" s="1"/>
  <c r="P29"/>
  <c r="Q29" s="1"/>
  <c r="E43"/>
  <c r="E41"/>
  <c r="E39"/>
  <c r="E37"/>
  <c r="E35"/>
  <c r="E33"/>
  <c r="E31"/>
  <c r="E29"/>
  <c r="E27"/>
  <c r="E25"/>
  <c r="P20"/>
  <c r="Q20" s="1"/>
  <c r="P16"/>
  <c r="Q16" s="1"/>
  <c r="P12"/>
  <c r="Q12" s="1"/>
  <c r="P8"/>
  <c r="Q8" s="1"/>
  <c r="K43"/>
  <c r="W12"/>
  <c r="W29"/>
  <c r="P45"/>
  <c r="Q45" s="1"/>
  <c r="E32"/>
  <c r="X32" s="1"/>
  <c r="E26"/>
  <c r="K18"/>
  <c r="X18" s="1"/>
  <c r="E11"/>
  <c r="E22"/>
  <c r="E6"/>
  <c r="E16"/>
  <c r="P35"/>
  <c r="Q35" s="1"/>
  <c r="P39"/>
  <c r="Q39" s="1"/>
  <c r="P30"/>
  <c r="Q30" s="1"/>
  <c r="P41"/>
  <c r="Q41" s="1"/>
  <c r="P22"/>
  <c r="Q22" s="1"/>
  <c r="P36"/>
  <c r="Q36" s="1"/>
  <c r="P33"/>
  <c r="Q33" s="1"/>
  <c r="P18"/>
  <c r="Q18" s="1"/>
  <c r="P14"/>
  <c r="Q14" s="1"/>
  <c r="P10"/>
  <c r="Q10" s="1"/>
  <c r="E30"/>
  <c r="E28"/>
  <c r="K11"/>
  <c r="E19"/>
  <c r="E21"/>
  <c r="E14"/>
  <c r="E9"/>
  <c r="P34"/>
  <c r="Q34" s="1"/>
  <c r="P38"/>
  <c r="Q38" s="1"/>
  <c r="P40"/>
  <c r="Q40" s="1"/>
  <c r="P25"/>
  <c r="Q25" s="1"/>
  <c r="X44"/>
  <c r="W15"/>
  <c r="W37"/>
  <c r="K37"/>
  <c r="W9"/>
  <c r="K31"/>
  <c r="K23"/>
  <c r="K15"/>
  <c r="W10"/>
  <c r="K7"/>
  <c r="W45"/>
  <c r="W25"/>
  <c r="K41"/>
  <c r="K22"/>
  <c r="K14"/>
  <c r="W6"/>
  <c r="W43"/>
  <c r="W39"/>
  <c r="K20"/>
  <c r="K8"/>
  <c r="W5"/>
  <c r="X24" l="1"/>
  <c r="X25"/>
  <c r="X39"/>
  <c r="X26"/>
  <c r="X12"/>
  <c r="X28"/>
  <c r="X29"/>
  <c r="X9"/>
  <c r="X41"/>
  <c r="X40"/>
  <c r="X34"/>
  <c r="X13"/>
  <c r="X37"/>
  <c r="X20"/>
  <c r="X36"/>
  <c r="X27"/>
  <c r="X10"/>
  <c r="X21"/>
  <c r="X19"/>
  <c r="X16"/>
  <c r="X14"/>
  <c r="X35"/>
  <c r="X11"/>
  <c r="X45"/>
  <c r="X33"/>
  <c r="X23"/>
  <c r="X43"/>
  <c r="X17"/>
  <c r="X42"/>
  <c r="X6"/>
  <c r="X5"/>
  <c r="X15"/>
  <c r="X38"/>
  <c r="X30"/>
  <c r="X8"/>
  <c r="Y8" s="1"/>
  <c r="X31"/>
  <c r="X22"/>
  <c r="X7"/>
  <c r="Y42"/>
  <c r="Y26"/>
  <c r="Y22" l="1"/>
  <c r="Y15"/>
  <c r="Y36"/>
  <c r="Y34"/>
  <c r="Y45"/>
  <c r="Y9"/>
  <c r="Y43"/>
  <c r="Y19"/>
  <c r="Y14"/>
  <c r="Y13"/>
  <c r="Y27"/>
  <c r="Y11"/>
  <c r="Y10"/>
  <c r="Y16"/>
  <c r="Y25"/>
  <c r="Y38"/>
  <c r="Y23"/>
  <c r="Y24"/>
  <c r="Y28"/>
  <c r="Y18"/>
  <c r="Y44"/>
  <c r="Y17"/>
  <c r="Y7"/>
  <c r="Y31"/>
  <c r="Y6"/>
  <c r="Y32"/>
  <c r="Y33"/>
  <c r="Y12"/>
  <c r="Y35"/>
  <c r="Y39"/>
  <c r="Y37"/>
  <c r="Y5"/>
  <c r="Y40"/>
  <c r="Y21"/>
  <c r="Y30"/>
  <c r="Y29"/>
  <c r="Y41"/>
  <c r="Y20"/>
  <c r="AA46" i="16"/>
  <c r="Z46"/>
  <c r="S43"/>
  <c r="R43"/>
  <c r="M43"/>
  <c r="N43" s="1"/>
  <c r="L43"/>
  <c r="G43"/>
  <c r="F43"/>
  <c r="C43"/>
  <c r="B43"/>
  <c r="S37"/>
  <c r="R37"/>
  <c r="M37"/>
  <c r="L37"/>
  <c r="G37"/>
  <c r="F37"/>
  <c r="C37"/>
  <c r="B37"/>
  <c r="S44"/>
  <c r="R44"/>
  <c r="M44"/>
  <c r="N44" s="1"/>
  <c r="L44"/>
  <c r="G44"/>
  <c r="F44"/>
  <c r="C44"/>
  <c r="B44"/>
  <c r="S40"/>
  <c r="R40"/>
  <c r="M40"/>
  <c r="L40"/>
  <c r="G40"/>
  <c r="F40"/>
  <c r="C40"/>
  <c r="B40"/>
  <c r="S38"/>
  <c r="R38"/>
  <c r="M38"/>
  <c r="N38" s="1"/>
  <c r="L38"/>
  <c r="G38"/>
  <c r="F38"/>
  <c r="C38"/>
  <c r="D38" s="1"/>
  <c r="B38"/>
  <c r="S39"/>
  <c r="R39"/>
  <c r="M39"/>
  <c r="N39" s="1"/>
  <c r="L39"/>
  <c r="G39"/>
  <c r="F39"/>
  <c r="C39"/>
  <c r="D39" s="1"/>
  <c r="B39"/>
  <c r="S35"/>
  <c r="R35"/>
  <c r="M35"/>
  <c r="N35" s="1"/>
  <c r="L35"/>
  <c r="G35"/>
  <c r="F35"/>
  <c r="C35"/>
  <c r="B35"/>
  <c r="S41"/>
  <c r="R41"/>
  <c r="M41"/>
  <c r="L41"/>
  <c r="G41"/>
  <c r="F41"/>
  <c r="C41"/>
  <c r="B41"/>
  <c r="S42"/>
  <c r="R42"/>
  <c r="M42"/>
  <c r="L42"/>
  <c r="G42"/>
  <c r="F42"/>
  <c r="C42"/>
  <c r="B42"/>
  <c r="S36"/>
  <c r="R36"/>
  <c r="M36"/>
  <c r="L36"/>
  <c r="G36"/>
  <c r="F36"/>
  <c r="C36"/>
  <c r="B36"/>
  <c r="S31"/>
  <c r="R31"/>
  <c r="M31"/>
  <c r="L31"/>
  <c r="G31"/>
  <c r="F31"/>
  <c r="C31"/>
  <c r="B31"/>
  <c r="S30"/>
  <c r="R30"/>
  <c r="M30"/>
  <c r="L30"/>
  <c r="G30"/>
  <c r="F30"/>
  <c r="C30"/>
  <c r="B30"/>
  <c r="S33"/>
  <c r="R33"/>
  <c r="M33"/>
  <c r="L33"/>
  <c r="G33"/>
  <c r="F33"/>
  <c r="C33"/>
  <c r="B33"/>
  <c r="S34"/>
  <c r="R34"/>
  <c r="M34"/>
  <c r="L34"/>
  <c r="G34"/>
  <c r="F34"/>
  <c r="C34"/>
  <c r="B34"/>
  <c r="S25"/>
  <c r="R25"/>
  <c r="M25"/>
  <c r="L25"/>
  <c r="G25"/>
  <c r="F25"/>
  <c r="C25"/>
  <c r="B25"/>
  <c r="S22"/>
  <c r="R22"/>
  <c r="M22"/>
  <c r="L22"/>
  <c r="G22"/>
  <c r="F22"/>
  <c r="C22"/>
  <c r="B22"/>
  <c r="S18"/>
  <c r="R18"/>
  <c r="M18"/>
  <c r="L18"/>
  <c r="G18"/>
  <c r="F18"/>
  <c r="C18"/>
  <c r="B18"/>
  <c r="S9"/>
  <c r="R9"/>
  <c r="M9"/>
  <c r="L9"/>
  <c r="G9"/>
  <c r="F9"/>
  <c r="C9"/>
  <c r="B9"/>
  <c r="S29"/>
  <c r="R29"/>
  <c r="M29"/>
  <c r="L29"/>
  <c r="G29"/>
  <c r="F29"/>
  <c r="C29"/>
  <c r="B29"/>
  <c r="S21"/>
  <c r="R21"/>
  <c r="M21"/>
  <c r="L21"/>
  <c r="G21"/>
  <c r="F21"/>
  <c r="C21"/>
  <c r="B21"/>
  <c r="S26"/>
  <c r="R26"/>
  <c r="M26"/>
  <c r="N26" s="1"/>
  <c r="L26"/>
  <c r="G26"/>
  <c r="F26"/>
  <c r="C26"/>
  <c r="D26" s="1"/>
  <c r="B26"/>
  <c r="S20"/>
  <c r="R20"/>
  <c r="M20"/>
  <c r="N20" s="1"/>
  <c r="L20"/>
  <c r="G20"/>
  <c r="F20"/>
  <c r="C20"/>
  <c r="D20" s="1"/>
  <c r="B20"/>
  <c r="S19"/>
  <c r="R19"/>
  <c r="M19"/>
  <c r="L19"/>
  <c r="G19"/>
  <c r="F19"/>
  <c r="C19"/>
  <c r="B19"/>
  <c r="S23"/>
  <c r="R23"/>
  <c r="M23"/>
  <c r="L23"/>
  <c r="G23"/>
  <c r="F23"/>
  <c r="C23"/>
  <c r="B23"/>
  <c r="S17"/>
  <c r="R17"/>
  <c r="M17"/>
  <c r="N17" s="1"/>
  <c r="L17"/>
  <c r="G17"/>
  <c r="F17"/>
  <c r="C17"/>
  <c r="B17"/>
  <c r="S6"/>
  <c r="R6"/>
  <c r="M6"/>
  <c r="L6"/>
  <c r="G6"/>
  <c r="F6"/>
  <c r="C6"/>
  <c r="B6"/>
  <c r="S7"/>
  <c r="R7"/>
  <c r="M7"/>
  <c r="N7" s="1"/>
  <c r="L7"/>
  <c r="G7"/>
  <c r="F7"/>
  <c r="C7"/>
  <c r="D7" s="1"/>
  <c r="B7"/>
  <c r="S12"/>
  <c r="R12"/>
  <c r="M12"/>
  <c r="N12" s="1"/>
  <c r="L12"/>
  <c r="G12"/>
  <c r="F12"/>
  <c r="C12"/>
  <c r="D12" s="1"/>
  <c r="B12"/>
  <c r="S10"/>
  <c r="R10"/>
  <c r="M10"/>
  <c r="N10" s="1"/>
  <c r="L10"/>
  <c r="G10"/>
  <c r="F10"/>
  <c r="C10"/>
  <c r="B10"/>
  <c r="S14"/>
  <c r="R14"/>
  <c r="M14"/>
  <c r="L14"/>
  <c r="G14"/>
  <c r="F14"/>
  <c r="C14"/>
  <c r="B14"/>
  <c r="S27"/>
  <c r="R27"/>
  <c r="M27"/>
  <c r="L27"/>
  <c r="G27"/>
  <c r="F27"/>
  <c r="C27"/>
  <c r="B27"/>
  <c r="S32"/>
  <c r="R32"/>
  <c r="M32"/>
  <c r="L32"/>
  <c r="G32"/>
  <c r="F32"/>
  <c r="C32"/>
  <c r="B32"/>
  <c r="S15"/>
  <c r="R15"/>
  <c r="M15"/>
  <c r="L15"/>
  <c r="G15"/>
  <c r="F15"/>
  <c r="C15"/>
  <c r="B15"/>
  <c r="S13"/>
  <c r="R13"/>
  <c r="M13"/>
  <c r="L13"/>
  <c r="G13"/>
  <c r="F13"/>
  <c r="C13"/>
  <c r="B13"/>
  <c r="S11"/>
  <c r="R11"/>
  <c r="M11"/>
  <c r="L11"/>
  <c r="G11"/>
  <c r="F11"/>
  <c r="C11"/>
  <c r="B11"/>
  <c r="S16"/>
  <c r="R16"/>
  <c r="M16"/>
  <c r="L16"/>
  <c r="G16"/>
  <c r="F16"/>
  <c r="C16"/>
  <c r="B16"/>
  <c r="S5"/>
  <c r="R5"/>
  <c r="M5"/>
  <c r="L5"/>
  <c r="G5"/>
  <c r="F5"/>
  <c r="C5"/>
  <c r="B5"/>
  <c r="S28"/>
  <c r="R28"/>
  <c r="M28"/>
  <c r="N28" s="1"/>
  <c r="L28"/>
  <c r="G28"/>
  <c r="F28"/>
  <c r="C28"/>
  <c r="D28" s="1"/>
  <c r="B28"/>
  <c r="S24"/>
  <c r="R24"/>
  <c r="M24"/>
  <c r="N24" s="1"/>
  <c r="L24"/>
  <c r="G24"/>
  <c r="F24"/>
  <c r="C24"/>
  <c r="B24"/>
  <c r="S8"/>
  <c r="R8"/>
  <c r="M8"/>
  <c r="L8"/>
  <c r="G8"/>
  <c r="F8"/>
  <c r="C8"/>
  <c r="B8"/>
  <c r="C43" i="13"/>
  <c r="C45" s="1"/>
  <c r="B43"/>
  <c r="B45" s="1"/>
  <c r="V45" i="14"/>
  <c r="O34"/>
  <c r="N34"/>
  <c r="K34"/>
  <c r="J34"/>
  <c r="G34"/>
  <c r="F34"/>
  <c r="H34" s="1"/>
  <c r="C34"/>
  <c r="B34"/>
  <c r="O32"/>
  <c r="N32"/>
  <c r="K32"/>
  <c r="J32"/>
  <c r="G32"/>
  <c r="F32"/>
  <c r="C32"/>
  <c r="B32"/>
  <c r="O13"/>
  <c r="N13"/>
  <c r="K13"/>
  <c r="J13"/>
  <c r="G13"/>
  <c r="F13"/>
  <c r="C13"/>
  <c r="B13"/>
  <c r="O20"/>
  <c r="N20"/>
  <c r="K20"/>
  <c r="J20"/>
  <c r="G20"/>
  <c r="F20"/>
  <c r="C20"/>
  <c r="B20"/>
  <c r="O37"/>
  <c r="N37"/>
  <c r="K37"/>
  <c r="J37"/>
  <c r="G37"/>
  <c r="F37"/>
  <c r="C37"/>
  <c r="B37"/>
  <c r="O28"/>
  <c r="N28"/>
  <c r="K28"/>
  <c r="J28"/>
  <c r="G28"/>
  <c r="F28"/>
  <c r="C28"/>
  <c r="B28"/>
  <c r="O17"/>
  <c r="N17"/>
  <c r="K17"/>
  <c r="J17"/>
  <c r="G17"/>
  <c r="F17"/>
  <c r="C17"/>
  <c r="B17"/>
  <c r="O40"/>
  <c r="N40"/>
  <c r="K40"/>
  <c r="J40"/>
  <c r="G40"/>
  <c r="F40"/>
  <c r="C40"/>
  <c r="B40"/>
  <c r="O39"/>
  <c r="N39"/>
  <c r="K39"/>
  <c r="L39" s="1"/>
  <c r="J39"/>
  <c r="G39"/>
  <c r="F39"/>
  <c r="C39"/>
  <c r="B39"/>
  <c r="O25"/>
  <c r="N25"/>
  <c r="K25"/>
  <c r="J25"/>
  <c r="G25"/>
  <c r="F25"/>
  <c r="C25"/>
  <c r="B25"/>
  <c r="O15"/>
  <c r="N15"/>
  <c r="K15"/>
  <c r="J15"/>
  <c r="G15"/>
  <c r="F15"/>
  <c r="C15"/>
  <c r="B15"/>
  <c r="O21"/>
  <c r="N21"/>
  <c r="K21"/>
  <c r="J21"/>
  <c r="G21"/>
  <c r="F21"/>
  <c r="C21"/>
  <c r="B21"/>
  <c r="O30"/>
  <c r="N30"/>
  <c r="K30"/>
  <c r="L30" s="1"/>
  <c r="J30"/>
  <c r="G30"/>
  <c r="F30"/>
  <c r="C30"/>
  <c r="B30"/>
  <c r="O18"/>
  <c r="N18"/>
  <c r="K18"/>
  <c r="J18"/>
  <c r="G18"/>
  <c r="F18"/>
  <c r="C18"/>
  <c r="B18"/>
  <c r="O16"/>
  <c r="N16"/>
  <c r="K16"/>
  <c r="L16" s="1"/>
  <c r="J16"/>
  <c r="G16"/>
  <c r="F16"/>
  <c r="C16"/>
  <c r="D16" s="1"/>
  <c r="B16"/>
  <c r="O22"/>
  <c r="N22"/>
  <c r="K22"/>
  <c r="L22" s="1"/>
  <c r="J22"/>
  <c r="G22"/>
  <c r="F22"/>
  <c r="C22"/>
  <c r="D22" s="1"/>
  <c r="B22"/>
  <c r="O36"/>
  <c r="N36"/>
  <c r="K36"/>
  <c r="L36" s="1"/>
  <c r="J36"/>
  <c r="G36"/>
  <c r="F36"/>
  <c r="C36"/>
  <c r="B36"/>
  <c r="O24"/>
  <c r="N24"/>
  <c r="K24"/>
  <c r="J24"/>
  <c r="G24"/>
  <c r="F24"/>
  <c r="C24"/>
  <c r="B24"/>
  <c r="O35"/>
  <c r="N35"/>
  <c r="K35"/>
  <c r="J35"/>
  <c r="G35"/>
  <c r="F35"/>
  <c r="C35"/>
  <c r="B35"/>
  <c r="O31"/>
  <c r="N31"/>
  <c r="K31"/>
  <c r="J31"/>
  <c r="G31"/>
  <c r="F31"/>
  <c r="C31"/>
  <c r="B31"/>
  <c r="O6"/>
  <c r="N6"/>
  <c r="K6"/>
  <c r="J6"/>
  <c r="G6"/>
  <c r="F6"/>
  <c r="C6"/>
  <c r="B6"/>
  <c r="O7"/>
  <c r="N7"/>
  <c r="K7"/>
  <c r="J7"/>
  <c r="G7"/>
  <c r="F7"/>
  <c r="C7"/>
  <c r="B7"/>
  <c r="O42"/>
  <c r="N42"/>
  <c r="K42"/>
  <c r="J42"/>
  <c r="G42"/>
  <c r="F42"/>
  <c r="C42"/>
  <c r="B42"/>
  <c r="O41"/>
  <c r="N41"/>
  <c r="K41"/>
  <c r="J41"/>
  <c r="G41"/>
  <c r="F41"/>
  <c r="C41"/>
  <c r="B41"/>
  <c r="O9"/>
  <c r="N9"/>
  <c r="K9"/>
  <c r="L9" s="1"/>
  <c r="J9"/>
  <c r="G9"/>
  <c r="F9"/>
  <c r="H9" s="1"/>
  <c r="C9"/>
  <c r="B9"/>
  <c r="O11"/>
  <c r="N11"/>
  <c r="K11"/>
  <c r="J11"/>
  <c r="G11"/>
  <c r="F11"/>
  <c r="C11"/>
  <c r="B11"/>
  <c r="O19"/>
  <c r="N19"/>
  <c r="K19"/>
  <c r="J19"/>
  <c r="G19"/>
  <c r="F19"/>
  <c r="C19"/>
  <c r="B19"/>
  <c r="O4"/>
  <c r="N4"/>
  <c r="K4"/>
  <c r="J4"/>
  <c r="G4"/>
  <c r="F4"/>
  <c r="C4"/>
  <c r="B4"/>
  <c r="O26"/>
  <c r="N26"/>
  <c r="K26"/>
  <c r="L26" s="1"/>
  <c r="J26"/>
  <c r="G26"/>
  <c r="F26"/>
  <c r="C26"/>
  <c r="B26"/>
  <c r="O33"/>
  <c r="N33"/>
  <c r="K33"/>
  <c r="J33"/>
  <c r="G33"/>
  <c r="F33"/>
  <c r="C33"/>
  <c r="B33"/>
  <c r="O29"/>
  <c r="N29"/>
  <c r="K29"/>
  <c r="L29" s="1"/>
  <c r="J29"/>
  <c r="G29"/>
  <c r="F29"/>
  <c r="C29"/>
  <c r="D29" s="1"/>
  <c r="B29"/>
  <c r="O14"/>
  <c r="N14"/>
  <c r="K14"/>
  <c r="L14" s="1"/>
  <c r="J14"/>
  <c r="G14"/>
  <c r="F14"/>
  <c r="C14"/>
  <c r="D14" s="1"/>
  <c r="B14"/>
  <c r="O10"/>
  <c r="N10"/>
  <c r="K10"/>
  <c r="J10"/>
  <c r="G10"/>
  <c r="F10"/>
  <c r="C10"/>
  <c r="B10"/>
  <c r="O8"/>
  <c r="N8"/>
  <c r="K8"/>
  <c r="J8"/>
  <c r="G8"/>
  <c r="F8"/>
  <c r="C8"/>
  <c r="B8"/>
  <c r="O27"/>
  <c r="N27"/>
  <c r="K27"/>
  <c r="J27"/>
  <c r="G27"/>
  <c r="F27"/>
  <c r="C27"/>
  <c r="D27" s="1"/>
  <c r="B27"/>
  <c r="O38"/>
  <c r="N38"/>
  <c r="K38"/>
  <c r="L38" s="1"/>
  <c r="J38"/>
  <c r="G38"/>
  <c r="F38"/>
  <c r="C38"/>
  <c r="D38" s="1"/>
  <c r="B38"/>
  <c r="O12"/>
  <c r="N12"/>
  <c r="P12" s="1"/>
  <c r="K12"/>
  <c r="J12"/>
  <c r="G12"/>
  <c r="F12"/>
  <c r="H12" s="1"/>
  <c r="C12"/>
  <c r="B12"/>
  <c r="O23"/>
  <c r="N23"/>
  <c r="K23"/>
  <c r="L23" s="1"/>
  <c r="J23"/>
  <c r="G23"/>
  <c r="F23"/>
  <c r="C23"/>
  <c r="D23" s="1"/>
  <c r="B23"/>
  <c r="O43"/>
  <c r="N43"/>
  <c r="K43"/>
  <c r="J43"/>
  <c r="G43"/>
  <c r="F43"/>
  <c r="C43"/>
  <c r="B43"/>
  <c r="O5"/>
  <c r="N5"/>
  <c r="K5"/>
  <c r="J5"/>
  <c r="G5"/>
  <c r="F5"/>
  <c r="C5"/>
  <c r="D5" s="1"/>
  <c r="B5"/>
  <c r="Z56" i="13"/>
  <c r="Y56"/>
  <c r="X56"/>
  <c r="W56"/>
  <c r="AA7"/>
  <c r="AA8" s="1"/>
  <c r="Y7"/>
  <c r="Y8" s="1"/>
  <c r="W7"/>
  <c r="W8" s="1"/>
  <c r="U7"/>
  <c r="U8" s="1"/>
  <c r="S7"/>
  <c r="S8" s="1"/>
  <c r="Q7"/>
  <c r="Q8" s="1"/>
  <c r="AB6"/>
  <c r="Z6"/>
  <c r="X6"/>
  <c r="V6"/>
  <c r="T6"/>
  <c r="R6"/>
  <c r="Z47" i="12"/>
  <c r="AB45"/>
  <c r="R5"/>
  <c r="S5"/>
  <c r="R6"/>
  <c r="S6"/>
  <c r="R7"/>
  <c r="S7"/>
  <c r="R9"/>
  <c r="S9"/>
  <c r="R10"/>
  <c r="S10"/>
  <c r="R11"/>
  <c r="S11"/>
  <c r="R12"/>
  <c r="S12"/>
  <c r="R13"/>
  <c r="S13"/>
  <c r="R14"/>
  <c r="S14"/>
  <c r="R15"/>
  <c r="S15"/>
  <c r="R16"/>
  <c r="S16"/>
  <c r="R17"/>
  <c r="S17"/>
  <c r="R18"/>
  <c r="S18"/>
  <c r="R19"/>
  <c r="S19"/>
  <c r="R20"/>
  <c r="S20"/>
  <c r="R21"/>
  <c r="S21"/>
  <c r="R22"/>
  <c r="S22"/>
  <c r="R23"/>
  <c r="S23"/>
  <c r="R24"/>
  <c r="S24"/>
  <c r="R25"/>
  <c r="S25"/>
  <c r="R26"/>
  <c r="S26"/>
  <c r="R27"/>
  <c r="S27"/>
  <c r="R28"/>
  <c r="S28"/>
  <c r="R29"/>
  <c r="S29"/>
  <c r="R30"/>
  <c r="S30"/>
  <c r="R31"/>
  <c r="S31"/>
  <c r="R32"/>
  <c r="S32"/>
  <c r="R33"/>
  <c r="S33"/>
  <c r="R34"/>
  <c r="S34"/>
  <c r="R35"/>
  <c r="S35"/>
  <c r="R36"/>
  <c r="S36"/>
  <c r="R37"/>
  <c r="S37"/>
  <c r="R38"/>
  <c r="S38"/>
  <c r="R39"/>
  <c r="S39"/>
  <c r="R40"/>
  <c r="S40"/>
  <c r="R41"/>
  <c r="S41"/>
  <c r="R42"/>
  <c r="S42"/>
  <c r="R43"/>
  <c r="S43"/>
  <c r="R44"/>
  <c r="S44"/>
  <c r="S4"/>
  <c r="R4"/>
  <c r="L44"/>
  <c r="M44"/>
  <c r="L5"/>
  <c r="M5"/>
  <c r="L6"/>
  <c r="M6"/>
  <c r="L7"/>
  <c r="M7"/>
  <c r="L9"/>
  <c r="M9"/>
  <c r="L10"/>
  <c r="M10"/>
  <c r="L11"/>
  <c r="M11"/>
  <c r="L12"/>
  <c r="M12"/>
  <c r="L13"/>
  <c r="M13"/>
  <c r="L14"/>
  <c r="M14"/>
  <c r="L15"/>
  <c r="M15"/>
  <c r="L16"/>
  <c r="M16"/>
  <c r="L17"/>
  <c r="M17"/>
  <c r="L18"/>
  <c r="M18"/>
  <c r="L19"/>
  <c r="M19"/>
  <c r="L20"/>
  <c r="M20"/>
  <c r="L21"/>
  <c r="M21"/>
  <c r="L22"/>
  <c r="M22"/>
  <c r="L23"/>
  <c r="M23"/>
  <c r="L24"/>
  <c r="M24"/>
  <c r="L25"/>
  <c r="M25"/>
  <c r="L26"/>
  <c r="M26"/>
  <c r="L27"/>
  <c r="M27"/>
  <c r="L28"/>
  <c r="M28"/>
  <c r="L29"/>
  <c r="M29"/>
  <c r="L30"/>
  <c r="M30"/>
  <c r="L31"/>
  <c r="M31"/>
  <c r="L32"/>
  <c r="M32"/>
  <c r="L33"/>
  <c r="M33"/>
  <c r="L34"/>
  <c r="M34"/>
  <c r="L35"/>
  <c r="M35"/>
  <c r="L36"/>
  <c r="M36"/>
  <c r="L37"/>
  <c r="M37"/>
  <c r="L38"/>
  <c r="M38"/>
  <c r="L39"/>
  <c r="M39"/>
  <c r="L40"/>
  <c r="M40"/>
  <c r="L41"/>
  <c r="M41"/>
  <c r="L42"/>
  <c r="M42"/>
  <c r="L43"/>
  <c r="M43"/>
  <c r="M4"/>
  <c r="L4"/>
  <c r="T38" i="16" l="1"/>
  <c r="H40"/>
  <c r="T44"/>
  <c r="H37"/>
  <c r="T37"/>
  <c r="H43"/>
  <c r="T43"/>
  <c r="L10" i="14"/>
  <c r="H27"/>
  <c r="P27"/>
  <c r="N27" i="16"/>
  <c r="H39" i="14"/>
  <c r="O8" i="16"/>
  <c r="H6" i="14"/>
  <c r="H35"/>
  <c r="P35"/>
  <c r="H36"/>
  <c r="L34"/>
  <c r="D5" i="16"/>
  <c r="D16"/>
  <c r="N16"/>
  <c r="D11"/>
  <c r="N11"/>
  <c r="N25"/>
  <c r="H10" i="14"/>
  <c r="D40"/>
  <c r="L40"/>
  <c r="D17"/>
  <c r="L17"/>
  <c r="D24" i="16"/>
  <c r="N8"/>
  <c r="D21"/>
  <c r="N21"/>
  <c r="D29"/>
  <c r="N29"/>
  <c r="N18"/>
  <c r="D34"/>
  <c r="N34"/>
  <c r="D33"/>
  <c r="N33"/>
  <c r="D30"/>
  <c r="N30"/>
  <c r="D31"/>
  <c r="N31"/>
  <c r="N42"/>
  <c r="I45"/>
  <c r="O45"/>
  <c r="N15"/>
  <c r="D14"/>
  <c r="N14"/>
  <c r="D10"/>
  <c r="N19"/>
  <c r="C46" i="13"/>
  <c r="D32" i="16"/>
  <c r="N32"/>
  <c r="D27"/>
  <c r="D23"/>
  <c r="N23"/>
  <c r="D19"/>
  <c r="D22"/>
  <c r="N22"/>
  <c r="D25"/>
  <c r="D41"/>
  <c r="N41"/>
  <c r="D35"/>
  <c r="T40"/>
  <c r="H44"/>
  <c r="O9" i="12"/>
  <c r="U40"/>
  <c r="H5" i="14"/>
  <c r="H26"/>
  <c r="H19"/>
  <c r="P19"/>
  <c r="D41"/>
  <c r="L41"/>
  <c r="D42"/>
  <c r="L42"/>
  <c r="L6"/>
  <c r="H30"/>
  <c r="H15"/>
  <c r="P15"/>
  <c r="L37"/>
  <c r="D8" i="16"/>
  <c r="D13"/>
  <c r="N13"/>
  <c r="D15"/>
  <c r="D6"/>
  <c r="E27" s="1"/>
  <c r="N6"/>
  <c r="D17"/>
  <c r="D9"/>
  <c r="N9"/>
  <c r="D18"/>
  <c r="D36"/>
  <c r="E36" s="1"/>
  <c r="N36"/>
  <c r="D42"/>
  <c r="H38"/>
  <c r="D37"/>
  <c r="N37"/>
  <c r="D43"/>
  <c r="D40"/>
  <c r="N40"/>
  <c r="D44"/>
  <c r="H37" i="14"/>
  <c r="H13"/>
  <c r="P13"/>
  <c r="H32"/>
  <c r="P32"/>
  <c r="O28" i="16"/>
  <c r="O11"/>
  <c r="O15"/>
  <c r="O27"/>
  <c r="O10"/>
  <c r="O7"/>
  <c r="O17"/>
  <c r="O19"/>
  <c r="O26"/>
  <c r="O29"/>
  <c r="O18"/>
  <c r="O25"/>
  <c r="O33"/>
  <c r="O31"/>
  <c r="O42"/>
  <c r="O35"/>
  <c r="O38"/>
  <c r="E40"/>
  <c r="O44"/>
  <c r="O43"/>
  <c r="O24"/>
  <c r="O5"/>
  <c r="O16"/>
  <c r="O13"/>
  <c r="O32"/>
  <c r="O14"/>
  <c r="O12"/>
  <c r="O6"/>
  <c r="O23"/>
  <c r="O20"/>
  <c r="O21"/>
  <c r="O9"/>
  <c r="O22"/>
  <c r="O34"/>
  <c r="O30"/>
  <c r="O36"/>
  <c r="O41"/>
  <c r="O39"/>
  <c r="O40"/>
  <c r="O37"/>
  <c r="N5"/>
  <c r="T24"/>
  <c r="U24"/>
  <c r="T5"/>
  <c r="U5"/>
  <c r="T16"/>
  <c r="U16"/>
  <c r="T13"/>
  <c r="U13"/>
  <c r="T32"/>
  <c r="U32"/>
  <c r="T14"/>
  <c r="U14"/>
  <c r="T12"/>
  <c r="U12"/>
  <c r="T6"/>
  <c r="U6"/>
  <c r="T23"/>
  <c r="U23"/>
  <c r="T20"/>
  <c r="U20"/>
  <c r="T21"/>
  <c r="U21"/>
  <c r="T18"/>
  <c r="U18"/>
  <c r="T25"/>
  <c r="U25"/>
  <c r="T33"/>
  <c r="U33"/>
  <c r="T36"/>
  <c r="U36"/>
  <c r="T41"/>
  <c r="U41"/>
  <c r="T35"/>
  <c r="U35"/>
  <c r="E37"/>
  <c r="E20"/>
  <c r="E9"/>
  <c r="E34"/>
  <c r="E39"/>
  <c r="T8"/>
  <c r="U45"/>
  <c r="U8"/>
  <c r="T28"/>
  <c r="U28"/>
  <c r="T11"/>
  <c r="U11"/>
  <c r="T15"/>
  <c r="U15"/>
  <c r="T27"/>
  <c r="U27"/>
  <c r="T10"/>
  <c r="U10"/>
  <c r="T7"/>
  <c r="U7"/>
  <c r="T17"/>
  <c r="U17"/>
  <c r="T19"/>
  <c r="U19"/>
  <c r="T26"/>
  <c r="U26"/>
  <c r="T29"/>
  <c r="U29"/>
  <c r="T9"/>
  <c r="U9"/>
  <c r="T22"/>
  <c r="U22"/>
  <c r="T34"/>
  <c r="U34"/>
  <c r="T30"/>
  <c r="U30"/>
  <c r="T31"/>
  <c r="U31"/>
  <c r="T42"/>
  <c r="U42"/>
  <c r="T39"/>
  <c r="U39"/>
  <c r="H8"/>
  <c r="I8"/>
  <c r="H24"/>
  <c r="I24"/>
  <c r="H28"/>
  <c r="I28"/>
  <c r="H5"/>
  <c r="I5"/>
  <c r="H16"/>
  <c r="I16"/>
  <c r="H11"/>
  <c r="I11"/>
  <c r="H13"/>
  <c r="I13"/>
  <c r="H15"/>
  <c r="I15"/>
  <c r="H32"/>
  <c r="I32"/>
  <c r="H27"/>
  <c r="I27"/>
  <c r="H14"/>
  <c r="I14"/>
  <c r="H10"/>
  <c r="I10"/>
  <c r="H12"/>
  <c r="I12"/>
  <c r="H7"/>
  <c r="I7"/>
  <c r="H6"/>
  <c r="I6"/>
  <c r="H17"/>
  <c r="I17"/>
  <c r="H23"/>
  <c r="I23"/>
  <c r="H19"/>
  <c r="I19"/>
  <c r="H20"/>
  <c r="I20"/>
  <c r="H26"/>
  <c r="I26"/>
  <c r="H21"/>
  <c r="I21"/>
  <c r="H29"/>
  <c r="I29"/>
  <c r="H9"/>
  <c r="I9"/>
  <c r="H18"/>
  <c r="I18"/>
  <c r="H22"/>
  <c r="I22"/>
  <c r="H25"/>
  <c r="I25"/>
  <c r="H34"/>
  <c r="I34"/>
  <c r="H33"/>
  <c r="I33"/>
  <c r="H30"/>
  <c r="I30"/>
  <c r="H31"/>
  <c r="I31"/>
  <c r="H36"/>
  <c r="I36"/>
  <c r="H42"/>
  <c r="I42"/>
  <c r="H41"/>
  <c r="I41"/>
  <c r="H35"/>
  <c r="I35"/>
  <c r="H39"/>
  <c r="I39"/>
  <c r="J44"/>
  <c r="E24"/>
  <c r="E11"/>
  <c r="E32"/>
  <c r="E12"/>
  <c r="E23"/>
  <c r="I38"/>
  <c r="U38"/>
  <c r="I40"/>
  <c r="U40"/>
  <c r="I44"/>
  <c r="U44"/>
  <c r="I37"/>
  <c r="U37"/>
  <c r="I43"/>
  <c r="U43"/>
  <c r="O43" i="12"/>
  <c r="O39"/>
  <c r="O35"/>
  <c r="O31"/>
  <c r="O27"/>
  <c r="O23"/>
  <c r="O19"/>
  <c r="O15"/>
  <c r="O11"/>
  <c r="O6"/>
  <c r="U7"/>
  <c r="U5"/>
  <c r="O42"/>
  <c r="O38"/>
  <c r="O34"/>
  <c r="O30"/>
  <c r="O26"/>
  <c r="O22"/>
  <c r="O18"/>
  <c r="O14"/>
  <c r="O10"/>
  <c r="O7"/>
  <c r="O5"/>
  <c r="U43"/>
  <c r="U41"/>
  <c r="U39"/>
  <c r="U37"/>
  <c r="U35"/>
  <c r="U33"/>
  <c r="U31"/>
  <c r="U29"/>
  <c r="U27"/>
  <c r="U25"/>
  <c r="U23"/>
  <c r="U21"/>
  <c r="U19"/>
  <c r="U17"/>
  <c r="U15"/>
  <c r="U13"/>
  <c r="U11"/>
  <c r="U9"/>
  <c r="O44"/>
  <c r="O36"/>
  <c r="O28"/>
  <c r="O20"/>
  <c r="O12"/>
  <c r="U44"/>
  <c r="U42"/>
  <c r="U38"/>
  <c r="U36"/>
  <c r="U34"/>
  <c r="U32"/>
  <c r="U30"/>
  <c r="U28"/>
  <c r="U26"/>
  <c r="U24"/>
  <c r="U22"/>
  <c r="U20"/>
  <c r="U18"/>
  <c r="U16"/>
  <c r="U14"/>
  <c r="U12"/>
  <c r="U10"/>
  <c r="U8"/>
  <c r="U6"/>
  <c r="O41"/>
  <c r="O33"/>
  <c r="O25"/>
  <c r="O13"/>
  <c r="U4"/>
  <c r="O40"/>
  <c r="O32"/>
  <c r="O24"/>
  <c r="O16"/>
  <c r="O8"/>
  <c r="O4"/>
  <c r="O37"/>
  <c r="O29"/>
  <c r="O21"/>
  <c r="O17"/>
  <c r="N35"/>
  <c r="N19"/>
  <c r="N15"/>
  <c r="N11"/>
  <c r="N6"/>
  <c r="N44"/>
  <c r="T44"/>
  <c r="T30"/>
  <c r="T28"/>
  <c r="N16"/>
  <c r="N30"/>
  <c r="T35"/>
  <c r="T19"/>
  <c r="T15"/>
  <c r="T11"/>
  <c r="T6"/>
  <c r="P5" i="14"/>
  <c r="H23"/>
  <c r="H29"/>
  <c r="P29"/>
  <c r="D4"/>
  <c r="L4"/>
  <c r="D19"/>
  <c r="L19"/>
  <c r="H42"/>
  <c r="P42"/>
  <c r="D31"/>
  <c r="L31"/>
  <c r="D35"/>
  <c r="L35"/>
  <c r="H16"/>
  <c r="P16"/>
  <c r="D21"/>
  <c r="L21"/>
  <c r="D15"/>
  <c r="L15"/>
  <c r="H17"/>
  <c r="P17"/>
  <c r="H28"/>
  <c r="P28"/>
  <c r="D20"/>
  <c r="L20"/>
  <c r="D13"/>
  <c r="L13"/>
  <c r="N31" i="12"/>
  <c r="N27"/>
  <c r="N23"/>
  <c r="T31"/>
  <c r="T27"/>
  <c r="T23"/>
  <c r="T21"/>
  <c r="N43"/>
  <c r="N39"/>
  <c r="N37"/>
  <c r="N32"/>
  <c r="N24"/>
  <c r="N20"/>
  <c r="N14"/>
  <c r="N7"/>
  <c r="T43"/>
  <c r="T39"/>
  <c r="T37"/>
  <c r="T14"/>
  <c r="T12"/>
  <c r="T7"/>
  <c r="H43" i="14"/>
  <c r="P43"/>
  <c r="N21" i="12"/>
  <c r="N40"/>
  <c r="N36"/>
  <c r="L5" i="14"/>
  <c r="P23"/>
  <c r="L27"/>
  <c r="D8"/>
  <c r="L8"/>
  <c r="D10"/>
  <c r="P10"/>
  <c r="D33"/>
  <c r="L33"/>
  <c r="D26"/>
  <c r="P26"/>
  <c r="D11"/>
  <c r="L11"/>
  <c r="D9"/>
  <c r="P9"/>
  <c r="D7"/>
  <c r="L7"/>
  <c r="D6"/>
  <c r="P6"/>
  <c r="D24"/>
  <c r="L24"/>
  <c r="D36"/>
  <c r="P36"/>
  <c r="D18"/>
  <c r="L18"/>
  <c r="D30"/>
  <c r="P30"/>
  <c r="D25"/>
  <c r="L25"/>
  <c r="D39"/>
  <c r="P39"/>
  <c r="D28"/>
  <c r="L28"/>
  <c r="D37"/>
  <c r="P37"/>
  <c r="H20"/>
  <c r="P20"/>
  <c r="D32"/>
  <c r="L32"/>
  <c r="D34"/>
  <c r="P34"/>
  <c r="R7" i="13"/>
  <c r="Z7"/>
  <c r="V7"/>
  <c r="D43" i="14"/>
  <c r="L43"/>
  <c r="D12"/>
  <c r="L12"/>
  <c r="H8"/>
  <c r="P8"/>
  <c r="H14"/>
  <c r="P14"/>
  <c r="H33"/>
  <c r="P33"/>
  <c r="H4"/>
  <c r="P4"/>
  <c r="H11"/>
  <c r="P11"/>
  <c r="H41"/>
  <c r="P41"/>
  <c r="H7"/>
  <c r="P7"/>
  <c r="H31"/>
  <c r="P31"/>
  <c r="H24"/>
  <c r="P24"/>
  <c r="H22"/>
  <c r="P22"/>
  <c r="H18"/>
  <c r="P18"/>
  <c r="H21"/>
  <c r="P21"/>
  <c r="H25"/>
  <c r="P25"/>
  <c r="H40"/>
  <c r="P40"/>
  <c r="H38"/>
  <c r="P38"/>
  <c r="N34" i="12"/>
  <c r="N9"/>
  <c r="T41"/>
  <c r="T32"/>
  <c r="T25"/>
  <c r="T18"/>
  <c r="N38"/>
  <c r="N13"/>
  <c r="N5"/>
  <c r="T38"/>
  <c r="T22"/>
  <c r="T13"/>
  <c r="T5"/>
  <c r="N41"/>
  <c r="N25"/>
  <c r="N18"/>
  <c r="T34"/>
  <c r="T16"/>
  <c r="T9"/>
  <c r="N29"/>
  <c r="N22"/>
  <c r="T36"/>
  <c r="T29"/>
  <c r="T20"/>
  <c r="N42"/>
  <c r="N33"/>
  <c r="N28"/>
  <c r="N26"/>
  <c r="N17"/>
  <c r="N12"/>
  <c r="N10"/>
  <c r="T42"/>
  <c r="T40"/>
  <c r="T33"/>
  <c r="T26"/>
  <c r="T24"/>
  <c r="T17"/>
  <c r="T10"/>
  <c r="Q9" i="13"/>
  <c r="R8"/>
  <c r="U9"/>
  <c r="V8"/>
  <c r="S9"/>
  <c r="T8"/>
  <c r="Y9"/>
  <c r="Z8"/>
  <c r="AA9"/>
  <c r="AB8"/>
  <c r="W9"/>
  <c r="X8"/>
  <c r="T7"/>
  <c r="X7"/>
  <c r="AB7"/>
  <c r="T4" i="12"/>
  <c r="N4"/>
  <c r="M36" i="14" l="1"/>
  <c r="Q19"/>
  <c r="E42"/>
  <c r="I32"/>
  <c r="Q12"/>
  <c r="E17" i="16"/>
  <c r="E35"/>
  <c r="E28"/>
  <c r="E30"/>
  <c r="I38" i="14"/>
  <c r="I25"/>
  <c r="I35"/>
  <c r="M6"/>
  <c r="E44" i="16"/>
  <c r="E41"/>
  <c r="E22"/>
  <c r="E21"/>
  <c r="E7"/>
  <c r="E5"/>
  <c r="E8"/>
  <c r="E6"/>
  <c r="E15"/>
  <c r="E43"/>
  <c r="E31"/>
  <c r="E25"/>
  <c r="E29"/>
  <c r="E13"/>
  <c r="E45"/>
  <c r="P23"/>
  <c r="Q23" s="1"/>
  <c r="E19"/>
  <c r="E14"/>
  <c r="E16"/>
  <c r="E38"/>
  <c r="E42"/>
  <c r="E33"/>
  <c r="E18"/>
  <c r="E26"/>
  <c r="E10"/>
  <c r="P42"/>
  <c r="Q42" s="1"/>
  <c r="P29"/>
  <c r="P10"/>
  <c r="Q10" s="1"/>
  <c r="P39"/>
  <c r="P40"/>
  <c r="P37"/>
  <c r="Q37" s="1"/>
  <c r="P22"/>
  <c r="Q22" s="1"/>
  <c r="Q39"/>
  <c r="P38"/>
  <c r="P18"/>
  <c r="Q18" s="1"/>
  <c r="P7"/>
  <c r="P28"/>
  <c r="Q28" s="1"/>
  <c r="P24"/>
  <c r="Q24" s="1"/>
  <c r="P16"/>
  <c r="Q16" s="1"/>
  <c r="P13"/>
  <c r="Q13" s="1"/>
  <c r="I8" i="14"/>
  <c r="Q40" i="16"/>
  <c r="P44"/>
  <c r="Q44" s="1"/>
  <c r="P33"/>
  <c r="Q33" s="1"/>
  <c r="P17"/>
  <c r="Q17" s="1"/>
  <c r="P11"/>
  <c r="Q11" s="1"/>
  <c r="Q29"/>
  <c r="Q7"/>
  <c r="P20"/>
  <c r="Q20" s="1"/>
  <c r="P12"/>
  <c r="Q12" s="1"/>
  <c r="P6"/>
  <c r="Q6" s="1"/>
  <c r="P32"/>
  <c r="Q32" s="1"/>
  <c r="I7" i="14"/>
  <c r="I33"/>
  <c r="M39"/>
  <c r="E34"/>
  <c r="I16"/>
  <c r="Q38"/>
  <c r="E39"/>
  <c r="E29"/>
  <c r="P43" i="16"/>
  <c r="P31"/>
  <c r="Q31" s="1"/>
  <c r="P26"/>
  <c r="Q26" s="1"/>
  <c r="P15"/>
  <c r="Q15" s="1"/>
  <c r="P34"/>
  <c r="Q34" s="1"/>
  <c r="P30"/>
  <c r="Q30" s="1"/>
  <c r="P9"/>
  <c r="Q9" s="1"/>
  <c r="P5"/>
  <c r="Q5" s="1"/>
  <c r="P45"/>
  <c r="Q45" s="1"/>
  <c r="J39"/>
  <c r="K39" s="1"/>
  <c r="J38"/>
  <c r="K38" s="1"/>
  <c r="V42"/>
  <c r="W42" s="1"/>
  <c r="Q43"/>
  <c r="K44"/>
  <c r="P35"/>
  <c r="Q35" s="1"/>
  <c r="P25"/>
  <c r="Q25" s="1"/>
  <c r="P19"/>
  <c r="Q19" s="1"/>
  <c r="P27"/>
  <c r="Q27" s="1"/>
  <c r="P8"/>
  <c r="Q8" s="1"/>
  <c r="Q38"/>
  <c r="P14"/>
  <c r="Q14" s="1"/>
  <c r="P21"/>
  <c r="Q21" s="1"/>
  <c r="P36"/>
  <c r="Q36" s="1"/>
  <c r="P41"/>
  <c r="Q41" s="1"/>
  <c r="V45"/>
  <c r="W45" s="1"/>
  <c r="V8"/>
  <c r="W8" s="1"/>
  <c r="J35"/>
  <c r="J42"/>
  <c r="K42" s="1"/>
  <c r="J31"/>
  <c r="K31" s="1"/>
  <c r="J33"/>
  <c r="K33" s="1"/>
  <c r="J25"/>
  <c r="K25" s="1"/>
  <c r="J18"/>
  <c r="K18" s="1"/>
  <c r="J29"/>
  <c r="K29" s="1"/>
  <c r="J26"/>
  <c r="K26" s="1"/>
  <c r="J19"/>
  <c r="J17"/>
  <c r="K17" s="1"/>
  <c r="J7"/>
  <c r="K7" s="1"/>
  <c r="J10"/>
  <c r="K10" s="1"/>
  <c r="J27"/>
  <c r="K27" s="1"/>
  <c r="J15"/>
  <c r="K15" s="1"/>
  <c r="J11"/>
  <c r="K11" s="1"/>
  <c r="J5"/>
  <c r="K5" s="1"/>
  <c r="J24"/>
  <c r="V39"/>
  <c r="W39" s="1"/>
  <c r="V31"/>
  <c r="W31" s="1"/>
  <c r="V34"/>
  <c r="W34" s="1"/>
  <c r="V9"/>
  <c r="W9" s="1"/>
  <c r="V26"/>
  <c r="W26" s="1"/>
  <c r="V17"/>
  <c r="W17" s="1"/>
  <c r="V10"/>
  <c r="W10" s="1"/>
  <c r="V15"/>
  <c r="W15" s="1"/>
  <c r="V28"/>
  <c r="W28" s="1"/>
  <c r="V43"/>
  <c r="W43" s="1"/>
  <c r="V40"/>
  <c r="W40" s="1"/>
  <c r="K35"/>
  <c r="K19"/>
  <c r="K24"/>
  <c r="V44"/>
  <c r="W44" s="1"/>
  <c r="V35"/>
  <c r="V36"/>
  <c r="W36" s="1"/>
  <c r="V25"/>
  <c r="W25" s="1"/>
  <c r="V21"/>
  <c r="V23"/>
  <c r="V12"/>
  <c r="W12" s="1"/>
  <c r="V32"/>
  <c r="W32" s="1"/>
  <c r="V16"/>
  <c r="V24"/>
  <c r="J45"/>
  <c r="K45" s="1"/>
  <c r="J8"/>
  <c r="K8" s="1"/>
  <c r="J41"/>
  <c r="J36"/>
  <c r="J30"/>
  <c r="K30" s="1"/>
  <c r="J34"/>
  <c r="K34" s="1"/>
  <c r="J22"/>
  <c r="J9"/>
  <c r="J21"/>
  <c r="K21" s="1"/>
  <c r="J20"/>
  <c r="J23"/>
  <c r="J6"/>
  <c r="J12"/>
  <c r="K12" s="1"/>
  <c r="J14"/>
  <c r="K14" s="1"/>
  <c r="J32"/>
  <c r="J13"/>
  <c r="J16"/>
  <c r="K16" s="1"/>
  <c r="J28"/>
  <c r="K28" s="1"/>
  <c r="X28" s="1"/>
  <c r="V30"/>
  <c r="V22"/>
  <c r="W22" s="1"/>
  <c r="V29"/>
  <c r="W29" s="1"/>
  <c r="V19"/>
  <c r="W19" s="1"/>
  <c r="V7"/>
  <c r="V27"/>
  <c r="W27" s="1"/>
  <c r="V11"/>
  <c r="W11" s="1"/>
  <c r="J37"/>
  <c r="K37" s="1"/>
  <c r="V38"/>
  <c r="W35"/>
  <c r="W21"/>
  <c r="W23"/>
  <c r="W16"/>
  <c r="W24"/>
  <c r="W38"/>
  <c r="V37"/>
  <c r="W37" s="1"/>
  <c r="K41"/>
  <c r="K36"/>
  <c r="K22"/>
  <c r="K9"/>
  <c r="K20"/>
  <c r="K23"/>
  <c r="K6"/>
  <c r="K32"/>
  <c r="K13"/>
  <c r="W30"/>
  <c r="W7"/>
  <c r="J40"/>
  <c r="K40" s="1"/>
  <c r="J43"/>
  <c r="K43" s="1"/>
  <c r="V41"/>
  <c r="W41" s="1"/>
  <c r="V33"/>
  <c r="W33" s="1"/>
  <c r="V18"/>
  <c r="W18" s="1"/>
  <c r="V20"/>
  <c r="W20" s="1"/>
  <c r="V6"/>
  <c r="W6" s="1"/>
  <c r="V14"/>
  <c r="W14" s="1"/>
  <c r="V13"/>
  <c r="W13" s="1"/>
  <c r="V5"/>
  <c r="W5" s="1"/>
  <c r="P12" i="12"/>
  <c r="P8"/>
  <c r="Q8" s="1"/>
  <c r="P4"/>
  <c r="Q4" s="1"/>
  <c r="V36"/>
  <c r="P41"/>
  <c r="V38"/>
  <c r="W38" s="1"/>
  <c r="P9"/>
  <c r="Q9" s="1"/>
  <c r="V7"/>
  <c r="W7" s="1"/>
  <c r="P20"/>
  <c r="Q20" s="1"/>
  <c r="P31"/>
  <c r="Q31" s="1"/>
  <c r="V28"/>
  <c r="W28" s="1"/>
  <c r="P10"/>
  <c r="Q10" s="1"/>
  <c r="P28"/>
  <c r="V9"/>
  <c r="W9" s="1"/>
  <c r="P25"/>
  <c r="Q25" s="1"/>
  <c r="V22"/>
  <c r="V41"/>
  <c r="W41" s="1"/>
  <c r="P36"/>
  <c r="Q36" s="1"/>
  <c r="V37"/>
  <c r="W37" s="1"/>
  <c r="P37"/>
  <c r="Q37" s="1"/>
  <c r="P27"/>
  <c r="Q27" s="1"/>
  <c r="V24"/>
  <c r="V42"/>
  <c r="P26"/>
  <c r="Q26" s="1"/>
  <c r="V20"/>
  <c r="P29"/>
  <c r="Q29" s="1"/>
  <c r="P18"/>
  <c r="Q18" s="1"/>
  <c r="V13"/>
  <c r="W13" s="1"/>
  <c r="P13"/>
  <c r="Q13" s="1"/>
  <c r="V32"/>
  <c r="W32" s="1"/>
  <c r="V14"/>
  <c r="W14" s="1"/>
  <c r="P7"/>
  <c r="Q7" s="1"/>
  <c r="P32"/>
  <c r="V21"/>
  <c r="W21" s="1"/>
  <c r="P23"/>
  <c r="Q23" s="1"/>
  <c r="V11"/>
  <c r="W11" s="1"/>
  <c r="P30"/>
  <c r="Q30" s="1"/>
  <c r="V44"/>
  <c r="W44" s="1"/>
  <c r="P15"/>
  <c r="Q15" s="1"/>
  <c r="V17"/>
  <c r="W17" s="1"/>
  <c r="V40"/>
  <c r="W40" s="1"/>
  <c r="P17"/>
  <c r="Q17" s="1"/>
  <c r="P42"/>
  <c r="Q42" s="1"/>
  <c r="P22"/>
  <c r="Q22" s="1"/>
  <c r="V34"/>
  <c r="W34" s="1"/>
  <c r="V5"/>
  <c r="W5" s="1"/>
  <c r="P5"/>
  <c r="Q5" s="1"/>
  <c r="V25"/>
  <c r="W25" s="1"/>
  <c r="P34"/>
  <c r="Q34" s="1"/>
  <c r="P21"/>
  <c r="Q21" s="1"/>
  <c r="V12"/>
  <c r="V43"/>
  <c r="W43" s="1"/>
  <c r="P24"/>
  <c r="P43"/>
  <c r="Q43" s="1"/>
  <c r="V31"/>
  <c r="W31" s="1"/>
  <c r="V6"/>
  <c r="W6" s="1"/>
  <c r="V35"/>
  <c r="W35" s="1"/>
  <c r="V30"/>
  <c r="W30" s="1"/>
  <c r="P11"/>
  <c r="Q11" s="1"/>
  <c r="Q32"/>
  <c r="W24"/>
  <c r="W42"/>
  <c r="Q28"/>
  <c r="V4"/>
  <c r="W4" s="1"/>
  <c r="V8"/>
  <c r="W8" s="1"/>
  <c r="V10"/>
  <c r="W10" s="1"/>
  <c r="V33"/>
  <c r="W33" s="1"/>
  <c r="P33"/>
  <c r="Q33" s="1"/>
  <c r="V16"/>
  <c r="W16" s="1"/>
  <c r="V18"/>
  <c r="W18" s="1"/>
  <c r="P40"/>
  <c r="Q40" s="1"/>
  <c r="V39"/>
  <c r="W39" s="1"/>
  <c r="P39"/>
  <c r="Q39" s="1"/>
  <c r="V27"/>
  <c r="W27" s="1"/>
  <c r="V19"/>
  <c r="W19" s="1"/>
  <c r="P6"/>
  <c r="Q6" s="1"/>
  <c r="P35"/>
  <c r="Q35" s="1"/>
  <c r="Q24"/>
  <c r="W22"/>
  <c r="V26"/>
  <c r="W26" s="1"/>
  <c r="V29"/>
  <c r="W29" s="1"/>
  <c r="P38"/>
  <c r="Q38" s="1"/>
  <c r="P14"/>
  <c r="Q14" s="1"/>
  <c r="V23"/>
  <c r="W23" s="1"/>
  <c r="V15"/>
  <c r="W15" s="1"/>
  <c r="P16"/>
  <c r="Q16" s="1"/>
  <c r="P44"/>
  <c r="Q44" s="1"/>
  <c r="P19"/>
  <c r="Q19" s="1"/>
  <c r="Q41"/>
  <c r="W12"/>
  <c r="W20"/>
  <c r="W36"/>
  <c r="Q12"/>
  <c r="I10" i="14"/>
  <c r="I15"/>
  <c r="E30"/>
  <c r="E28"/>
  <c r="M43"/>
  <c r="I9"/>
  <c r="M16"/>
  <c r="M20"/>
  <c r="I37"/>
  <c r="I40"/>
  <c r="E16"/>
  <c r="M32"/>
  <c r="Q37"/>
  <c r="Q14"/>
  <c r="M13"/>
  <c r="Q27"/>
  <c r="E20"/>
  <c r="I36"/>
  <c r="I30"/>
  <c r="E18"/>
  <c r="Q22"/>
  <c r="M14"/>
  <c r="M35"/>
  <c r="M15"/>
  <c r="I21"/>
  <c r="I22"/>
  <c r="I31"/>
  <c r="I41"/>
  <c r="I13"/>
  <c r="I14"/>
  <c r="Q41"/>
  <c r="M10"/>
  <c r="Q4"/>
  <c r="I28"/>
  <c r="I4"/>
  <c r="I27"/>
  <c r="M34"/>
  <c r="Q40"/>
  <c r="Q21"/>
  <c r="Q31"/>
  <c r="Q26"/>
  <c r="M5"/>
  <c r="M9"/>
  <c r="M41"/>
  <c r="I11"/>
  <c r="Q43"/>
  <c r="E21"/>
  <c r="E4"/>
  <c r="E38"/>
  <c r="E25"/>
  <c r="E19"/>
  <c r="Q5"/>
  <c r="Q32"/>
  <c r="Q25"/>
  <c r="Q7"/>
  <c r="I42"/>
  <c r="I29"/>
  <c r="Q23"/>
  <c r="Q6"/>
  <c r="E15"/>
  <c r="Q11"/>
  <c r="I17"/>
  <c r="M33"/>
  <c r="M21"/>
  <c r="Q36"/>
  <c r="M31"/>
  <c r="Q9"/>
  <c r="M4"/>
  <c r="Q10"/>
  <c r="M38"/>
  <c r="R38" s="1"/>
  <c r="E23"/>
  <c r="E26"/>
  <c r="M23"/>
  <c r="M40"/>
  <c r="Q24"/>
  <c r="I19"/>
  <c r="Q39"/>
  <c r="Q34"/>
  <c r="E37"/>
  <c r="E5"/>
  <c r="I20"/>
  <c r="I18"/>
  <c r="E24"/>
  <c r="M42"/>
  <c r="E11"/>
  <c r="M29"/>
  <c r="E8"/>
  <c r="E6"/>
  <c r="I26"/>
  <c r="E32"/>
  <c r="R32" s="1"/>
  <c r="M25"/>
  <c r="Q35"/>
  <c r="M7"/>
  <c r="Q8"/>
  <c r="I23"/>
  <c r="M37"/>
  <c r="I39"/>
  <c r="I34"/>
  <c r="R34" s="1"/>
  <c r="I43"/>
  <c r="M27"/>
  <c r="R39"/>
  <c r="Q16"/>
  <c r="R16" s="1"/>
  <c r="E31"/>
  <c r="E41"/>
  <c r="E7"/>
  <c r="Q17"/>
  <c r="E13"/>
  <c r="Q28"/>
  <c r="Q33"/>
  <c r="Q30"/>
  <c r="E14"/>
  <c r="I5"/>
  <c r="R5" s="1"/>
  <c r="M30"/>
  <c r="E36"/>
  <c r="R36" s="1"/>
  <c r="E9"/>
  <c r="E10"/>
  <c r="I12"/>
  <c r="E22"/>
  <c r="M26"/>
  <c r="M12"/>
  <c r="M28"/>
  <c r="M18"/>
  <c r="M19"/>
  <c r="Q15"/>
  <c r="Q13"/>
  <c r="E17"/>
  <c r="E44"/>
  <c r="Q20"/>
  <c r="Q18"/>
  <c r="M24"/>
  <c r="Q42"/>
  <c r="M11"/>
  <c r="Q29"/>
  <c r="M8"/>
  <c r="E43"/>
  <c r="R43" s="1"/>
  <c r="M22"/>
  <c r="I6"/>
  <c r="E12"/>
  <c r="E40"/>
  <c r="I24"/>
  <c r="E35"/>
  <c r="R35" s="1"/>
  <c r="E33"/>
  <c r="R33" s="1"/>
  <c r="E27"/>
  <c r="R27" s="1"/>
  <c r="M17"/>
  <c r="R28"/>
  <c r="R19"/>
  <c r="W10" i="13"/>
  <c r="X9"/>
  <c r="S10"/>
  <c r="T9"/>
  <c r="Q10"/>
  <c r="R9"/>
  <c r="AA10"/>
  <c r="AB9"/>
  <c r="Y10"/>
  <c r="Z9"/>
  <c r="U10"/>
  <c r="V9"/>
  <c r="X23" i="16" l="1"/>
  <c r="X44"/>
  <c r="X45"/>
  <c r="X16"/>
  <c r="R8" i="14"/>
  <c r="R9"/>
  <c r="R4"/>
  <c r="X32" i="16"/>
  <c r="X39"/>
  <c r="R42" i="14"/>
  <c r="X24" i="16"/>
  <c r="X38"/>
  <c r="X5"/>
  <c r="R22" i="14"/>
  <c r="R40"/>
  <c r="X27" i="16"/>
  <c r="X25"/>
  <c r="X10"/>
  <c r="X33"/>
  <c r="X9"/>
  <c r="X36"/>
  <c r="X35"/>
  <c r="X13"/>
  <c r="X12"/>
  <c r="X21"/>
  <c r="X30"/>
  <c r="X8"/>
  <c r="X14"/>
  <c r="X34"/>
  <c r="X26"/>
  <c r="X15"/>
  <c r="X42"/>
  <c r="X41"/>
  <c r="X22"/>
  <c r="X7"/>
  <c r="X43"/>
  <c r="X20"/>
  <c r="X37"/>
  <c r="X17"/>
  <c r="X18"/>
  <c r="X11"/>
  <c r="X29"/>
  <c r="X31"/>
  <c r="X40"/>
  <c r="X6"/>
  <c r="X19"/>
  <c r="Y19" s="1"/>
  <c r="R37" i="14"/>
  <c r="R23"/>
  <c r="R14"/>
  <c r="R15"/>
  <c r="R29"/>
  <c r="R7"/>
  <c r="R18"/>
  <c r="R30"/>
  <c r="R25"/>
  <c r="R6"/>
  <c r="R21"/>
  <c r="R31"/>
  <c r="R12"/>
  <c r="R17"/>
  <c r="R24"/>
  <c r="R10"/>
  <c r="R41"/>
  <c r="R11"/>
  <c r="R20"/>
  <c r="R26"/>
  <c r="R13"/>
  <c r="U11" i="13"/>
  <c r="V10"/>
  <c r="AA11"/>
  <c r="AB10"/>
  <c r="S11"/>
  <c r="T10"/>
  <c r="Y11"/>
  <c r="Z10"/>
  <c r="Q11"/>
  <c r="R10"/>
  <c r="W11"/>
  <c r="X10"/>
  <c r="F5" i="12"/>
  <c r="G5"/>
  <c r="F6"/>
  <c r="G6"/>
  <c r="F7"/>
  <c r="G7"/>
  <c r="F9"/>
  <c r="G9"/>
  <c r="F10"/>
  <c r="G10"/>
  <c r="F11"/>
  <c r="G11"/>
  <c r="F12"/>
  <c r="G12"/>
  <c r="F13"/>
  <c r="G13"/>
  <c r="F14"/>
  <c r="G14"/>
  <c r="F15"/>
  <c r="G15"/>
  <c r="F16"/>
  <c r="G16"/>
  <c r="F17"/>
  <c r="G17"/>
  <c r="F18"/>
  <c r="G18"/>
  <c r="F19"/>
  <c r="G19"/>
  <c r="F20"/>
  <c r="G20"/>
  <c r="F21"/>
  <c r="G21"/>
  <c r="F22"/>
  <c r="G22"/>
  <c r="F23"/>
  <c r="G23"/>
  <c r="F24"/>
  <c r="G24"/>
  <c r="F25"/>
  <c r="G25"/>
  <c r="F26"/>
  <c r="G26"/>
  <c r="F27"/>
  <c r="G27"/>
  <c r="F28"/>
  <c r="G28"/>
  <c r="F29"/>
  <c r="G29"/>
  <c r="F30"/>
  <c r="G30"/>
  <c r="F31"/>
  <c r="G31"/>
  <c r="F32"/>
  <c r="G32"/>
  <c r="F33"/>
  <c r="G33"/>
  <c r="F34"/>
  <c r="G34"/>
  <c r="F35"/>
  <c r="G35"/>
  <c r="F36"/>
  <c r="G36"/>
  <c r="F37"/>
  <c r="G37"/>
  <c r="F38"/>
  <c r="G38"/>
  <c r="F39"/>
  <c r="G39"/>
  <c r="F40"/>
  <c r="G40"/>
  <c r="F41"/>
  <c r="G41"/>
  <c r="F42"/>
  <c r="G42"/>
  <c r="F43"/>
  <c r="G43"/>
  <c r="F44"/>
  <c r="G44"/>
  <c r="G4"/>
  <c r="F4"/>
  <c r="B5"/>
  <c r="C5"/>
  <c r="B6"/>
  <c r="C6"/>
  <c r="B7"/>
  <c r="C7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B31"/>
  <c r="C31"/>
  <c r="B32"/>
  <c r="C32"/>
  <c r="B33"/>
  <c r="C33"/>
  <c r="B34"/>
  <c r="C34"/>
  <c r="B35"/>
  <c r="C35"/>
  <c r="B36"/>
  <c r="C36"/>
  <c r="B37"/>
  <c r="C37"/>
  <c r="B38"/>
  <c r="C38"/>
  <c r="B39"/>
  <c r="C39"/>
  <c r="B40"/>
  <c r="C40"/>
  <c r="B41"/>
  <c r="C41"/>
  <c r="B42"/>
  <c r="C42"/>
  <c r="B43"/>
  <c r="C43"/>
  <c r="B44"/>
  <c r="C44"/>
  <c r="C4"/>
  <c r="B4"/>
  <c r="X78" i="11"/>
  <c r="W78"/>
  <c r="V78"/>
  <c r="B46"/>
  <c r="G44"/>
  <c r="H44" s="1"/>
  <c r="F44"/>
  <c r="E44"/>
  <c r="C44"/>
  <c r="D44" s="1"/>
  <c r="G43"/>
  <c r="F43"/>
  <c r="H43" s="1"/>
  <c r="E43"/>
  <c r="D43"/>
  <c r="C43"/>
  <c r="I42"/>
  <c r="H42"/>
  <c r="J42" s="1"/>
  <c r="G42"/>
  <c r="F42"/>
  <c r="E42"/>
  <c r="D42"/>
  <c r="K42" s="1"/>
  <c r="C42"/>
  <c r="H41"/>
  <c r="I41" s="1"/>
  <c r="G41"/>
  <c r="F41"/>
  <c r="E41"/>
  <c r="D41"/>
  <c r="K41" s="1"/>
  <c r="C41"/>
  <c r="G40"/>
  <c r="H40" s="1"/>
  <c r="F40"/>
  <c r="E40"/>
  <c r="C40"/>
  <c r="D40" s="1"/>
  <c r="G39"/>
  <c r="F39"/>
  <c r="H39" s="1"/>
  <c r="E39"/>
  <c r="D39"/>
  <c r="C39"/>
  <c r="I38"/>
  <c r="H38"/>
  <c r="J38" s="1"/>
  <c r="G38"/>
  <c r="F38"/>
  <c r="E38"/>
  <c r="D38"/>
  <c r="K38" s="1"/>
  <c r="C38"/>
  <c r="H37"/>
  <c r="I37" s="1"/>
  <c r="G37"/>
  <c r="F37"/>
  <c r="E37"/>
  <c r="D37"/>
  <c r="K37" s="1"/>
  <c r="C37"/>
  <c r="G36"/>
  <c r="H36" s="1"/>
  <c r="F36"/>
  <c r="E36"/>
  <c r="C36"/>
  <c r="D36" s="1"/>
  <c r="G35"/>
  <c r="F35"/>
  <c r="H35" s="1"/>
  <c r="E35"/>
  <c r="D35"/>
  <c r="C35"/>
  <c r="I34"/>
  <c r="H34"/>
  <c r="J34" s="1"/>
  <c r="G34"/>
  <c r="F34"/>
  <c r="E34"/>
  <c r="D34"/>
  <c r="K34" s="1"/>
  <c r="C34"/>
  <c r="H33"/>
  <c r="I33" s="1"/>
  <c r="G33"/>
  <c r="F33"/>
  <c r="E33"/>
  <c r="D33"/>
  <c r="K33" s="1"/>
  <c r="C33"/>
  <c r="G32"/>
  <c r="H32" s="1"/>
  <c r="F32"/>
  <c r="E32"/>
  <c r="C32"/>
  <c r="D32" s="1"/>
  <c r="X31"/>
  <c r="G8" s="1"/>
  <c r="H8" s="1"/>
  <c r="W31"/>
  <c r="V31"/>
  <c r="I31"/>
  <c r="H31"/>
  <c r="J31" s="1"/>
  <c r="G31"/>
  <c r="F31"/>
  <c r="E31"/>
  <c r="D31"/>
  <c r="K31" s="1"/>
  <c r="C31"/>
  <c r="H30"/>
  <c r="I30" s="1"/>
  <c r="G30"/>
  <c r="F30"/>
  <c r="E30"/>
  <c r="D30"/>
  <c r="K30" s="1"/>
  <c r="C30"/>
  <c r="G29"/>
  <c r="H29" s="1"/>
  <c r="F29"/>
  <c r="E29"/>
  <c r="C29"/>
  <c r="D29" s="1"/>
  <c r="G28"/>
  <c r="F28"/>
  <c r="H28" s="1"/>
  <c r="E28"/>
  <c r="D28"/>
  <c r="C28"/>
  <c r="I27"/>
  <c r="H27"/>
  <c r="J27" s="1"/>
  <c r="G27"/>
  <c r="F27"/>
  <c r="E27"/>
  <c r="D27"/>
  <c r="K27" s="1"/>
  <c r="C27"/>
  <c r="H26"/>
  <c r="I26" s="1"/>
  <c r="G26"/>
  <c r="F26"/>
  <c r="E26"/>
  <c r="D26"/>
  <c r="K26" s="1"/>
  <c r="C26"/>
  <c r="G25"/>
  <c r="H25" s="1"/>
  <c r="F25"/>
  <c r="E25"/>
  <c r="C25"/>
  <c r="D25" s="1"/>
  <c r="G24"/>
  <c r="F24"/>
  <c r="H24" s="1"/>
  <c r="E24"/>
  <c r="D24"/>
  <c r="C24"/>
  <c r="I23"/>
  <c r="H23"/>
  <c r="J23" s="1"/>
  <c r="G23"/>
  <c r="F23"/>
  <c r="E23"/>
  <c r="D23"/>
  <c r="K23" s="1"/>
  <c r="C23"/>
  <c r="H22"/>
  <c r="I22" s="1"/>
  <c r="G22"/>
  <c r="F22"/>
  <c r="E22"/>
  <c r="D22"/>
  <c r="K22" s="1"/>
  <c r="C22"/>
  <c r="G21"/>
  <c r="H21" s="1"/>
  <c r="F21"/>
  <c r="E21"/>
  <c r="C21"/>
  <c r="D21" s="1"/>
  <c r="G20"/>
  <c r="F20"/>
  <c r="H20" s="1"/>
  <c r="E20"/>
  <c r="D20"/>
  <c r="C20"/>
  <c r="I19"/>
  <c r="H19"/>
  <c r="J19" s="1"/>
  <c r="G19"/>
  <c r="F19"/>
  <c r="E19"/>
  <c r="D19"/>
  <c r="K19" s="1"/>
  <c r="C19"/>
  <c r="H18"/>
  <c r="I18" s="1"/>
  <c r="G18"/>
  <c r="F18"/>
  <c r="E18"/>
  <c r="D18"/>
  <c r="K18" s="1"/>
  <c r="C18"/>
  <c r="G17"/>
  <c r="H17" s="1"/>
  <c r="F17"/>
  <c r="E17"/>
  <c r="C17"/>
  <c r="D17" s="1"/>
  <c r="G16"/>
  <c r="F16"/>
  <c r="H16" s="1"/>
  <c r="E16"/>
  <c r="D16"/>
  <c r="C16"/>
  <c r="I15"/>
  <c r="H15"/>
  <c r="J15" s="1"/>
  <c r="G15"/>
  <c r="F15"/>
  <c r="E15"/>
  <c r="D15"/>
  <c r="K15" s="1"/>
  <c r="C15"/>
  <c r="H14"/>
  <c r="I14" s="1"/>
  <c r="G14"/>
  <c r="F14"/>
  <c r="E14"/>
  <c r="D14"/>
  <c r="K14" s="1"/>
  <c r="C14"/>
  <c r="G13"/>
  <c r="H13" s="1"/>
  <c r="F13"/>
  <c r="E13"/>
  <c r="C13"/>
  <c r="D13" s="1"/>
  <c r="G12"/>
  <c r="F12"/>
  <c r="H12" s="1"/>
  <c r="E12"/>
  <c r="D12"/>
  <c r="C12"/>
  <c r="I11"/>
  <c r="H11"/>
  <c r="J11" s="1"/>
  <c r="G11"/>
  <c r="F11"/>
  <c r="E11"/>
  <c r="D11"/>
  <c r="K11" s="1"/>
  <c r="C11"/>
  <c r="H10"/>
  <c r="I10" s="1"/>
  <c r="G10"/>
  <c r="F10"/>
  <c r="E10"/>
  <c r="D10"/>
  <c r="K10" s="1"/>
  <c r="C10"/>
  <c r="G9"/>
  <c r="H9" s="1"/>
  <c r="F9"/>
  <c r="E9"/>
  <c r="C9"/>
  <c r="D9" s="1"/>
  <c r="F8"/>
  <c r="E8"/>
  <c r="D8"/>
  <c r="C8"/>
  <c r="I7"/>
  <c r="H7"/>
  <c r="J7" s="1"/>
  <c r="G7"/>
  <c r="F7"/>
  <c r="E7"/>
  <c r="D7"/>
  <c r="K7" s="1"/>
  <c r="C7"/>
  <c r="H6"/>
  <c r="I6" s="1"/>
  <c r="G6"/>
  <c r="F6"/>
  <c r="E6"/>
  <c r="D6"/>
  <c r="K6" s="1"/>
  <c r="C6"/>
  <c r="G5"/>
  <c r="H5" s="1"/>
  <c r="F5"/>
  <c r="F46" s="1"/>
  <c r="E5"/>
  <c r="E46" s="1"/>
  <c r="C5"/>
  <c r="D5" s="1"/>
  <c r="A2"/>
  <c r="V76" i="10"/>
  <c r="R76"/>
  <c r="B45"/>
  <c r="H44"/>
  <c r="F44"/>
  <c r="G44" s="1"/>
  <c r="E44"/>
  <c r="D44"/>
  <c r="C44"/>
  <c r="H43"/>
  <c r="F43"/>
  <c r="E43"/>
  <c r="D43"/>
  <c r="C43"/>
  <c r="G43" s="1"/>
  <c r="H42"/>
  <c r="F42"/>
  <c r="E42"/>
  <c r="D42"/>
  <c r="C42"/>
  <c r="G42" s="1"/>
  <c r="H41"/>
  <c r="F41"/>
  <c r="E41"/>
  <c r="C41"/>
  <c r="D41" s="1"/>
  <c r="H40"/>
  <c r="F40"/>
  <c r="G40" s="1"/>
  <c r="E40"/>
  <c r="D40"/>
  <c r="C40"/>
  <c r="H39"/>
  <c r="F39"/>
  <c r="E39"/>
  <c r="D39"/>
  <c r="C39"/>
  <c r="G39" s="1"/>
  <c r="H38"/>
  <c r="F38"/>
  <c r="E38"/>
  <c r="D38"/>
  <c r="C38"/>
  <c r="G38" s="1"/>
  <c r="H37"/>
  <c r="F37"/>
  <c r="E37"/>
  <c r="C37"/>
  <c r="D37" s="1"/>
  <c r="H36"/>
  <c r="F36"/>
  <c r="G36" s="1"/>
  <c r="E36"/>
  <c r="D36"/>
  <c r="C36"/>
  <c r="H35"/>
  <c r="F35"/>
  <c r="E35"/>
  <c r="D35"/>
  <c r="C35"/>
  <c r="G35" s="1"/>
  <c r="H34"/>
  <c r="F34"/>
  <c r="E34"/>
  <c r="D34"/>
  <c r="C34"/>
  <c r="G34" s="1"/>
  <c r="H33"/>
  <c r="F33"/>
  <c r="E33"/>
  <c r="C33"/>
  <c r="D33" s="1"/>
  <c r="H32"/>
  <c r="F32"/>
  <c r="G32" s="1"/>
  <c r="E32"/>
  <c r="D32"/>
  <c r="C32"/>
  <c r="H31"/>
  <c r="F31"/>
  <c r="E31"/>
  <c r="D31"/>
  <c r="C31"/>
  <c r="G31" s="1"/>
  <c r="V30"/>
  <c r="R30"/>
  <c r="E8" s="1"/>
  <c r="H30"/>
  <c r="F30"/>
  <c r="G30" s="1"/>
  <c r="E30"/>
  <c r="D30"/>
  <c r="C30"/>
  <c r="H29"/>
  <c r="F29"/>
  <c r="E29"/>
  <c r="D29"/>
  <c r="C29"/>
  <c r="G29" s="1"/>
  <c r="H28"/>
  <c r="F28"/>
  <c r="E28"/>
  <c r="D28"/>
  <c r="C28"/>
  <c r="G28" s="1"/>
  <c r="H27"/>
  <c r="F27"/>
  <c r="E27"/>
  <c r="C27"/>
  <c r="D27" s="1"/>
  <c r="H26"/>
  <c r="F26"/>
  <c r="G26" s="1"/>
  <c r="E26"/>
  <c r="D26"/>
  <c r="C26"/>
  <c r="H25"/>
  <c r="F25"/>
  <c r="E25"/>
  <c r="D25"/>
  <c r="C25"/>
  <c r="G25" s="1"/>
  <c r="H24"/>
  <c r="F24"/>
  <c r="E24"/>
  <c r="D24"/>
  <c r="C24"/>
  <c r="G24" s="1"/>
  <c r="H23"/>
  <c r="F23"/>
  <c r="E23"/>
  <c r="C23"/>
  <c r="D23" s="1"/>
  <c r="H22"/>
  <c r="F22"/>
  <c r="G22" s="1"/>
  <c r="E22"/>
  <c r="D22"/>
  <c r="C22"/>
  <c r="H21"/>
  <c r="F21"/>
  <c r="E21"/>
  <c r="D21"/>
  <c r="C21"/>
  <c r="G21" s="1"/>
  <c r="H20"/>
  <c r="F20"/>
  <c r="E20"/>
  <c r="D20"/>
  <c r="C20"/>
  <c r="G20" s="1"/>
  <c r="H19"/>
  <c r="F19"/>
  <c r="E19"/>
  <c r="C19"/>
  <c r="D19" s="1"/>
  <c r="H18"/>
  <c r="F18"/>
  <c r="G18" s="1"/>
  <c r="E18"/>
  <c r="D18"/>
  <c r="C18"/>
  <c r="H17"/>
  <c r="F17"/>
  <c r="E17"/>
  <c r="D17"/>
  <c r="C17"/>
  <c r="G17" s="1"/>
  <c r="H16"/>
  <c r="F16"/>
  <c r="E16"/>
  <c r="D16"/>
  <c r="C16"/>
  <c r="G16" s="1"/>
  <c r="H15"/>
  <c r="F15"/>
  <c r="E15"/>
  <c r="C15"/>
  <c r="D15" s="1"/>
  <c r="H14"/>
  <c r="F14"/>
  <c r="G14" s="1"/>
  <c r="E14"/>
  <c r="D14"/>
  <c r="C14"/>
  <c r="H13"/>
  <c r="F13"/>
  <c r="E13"/>
  <c r="D13"/>
  <c r="C13"/>
  <c r="G13" s="1"/>
  <c r="H12"/>
  <c r="F12"/>
  <c r="E12"/>
  <c r="D12"/>
  <c r="C12"/>
  <c r="G12" s="1"/>
  <c r="H11"/>
  <c r="F11"/>
  <c r="E11"/>
  <c r="C11"/>
  <c r="D11" s="1"/>
  <c r="H10"/>
  <c r="F10"/>
  <c r="G10" s="1"/>
  <c r="E10"/>
  <c r="D10"/>
  <c r="C10"/>
  <c r="H9"/>
  <c r="F9"/>
  <c r="E9"/>
  <c r="D9"/>
  <c r="C9"/>
  <c r="G9" s="1"/>
  <c r="H8"/>
  <c r="F8"/>
  <c r="H7"/>
  <c r="F7"/>
  <c r="E7"/>
  <c r="C7"/>
  <c r="D7" s="1"/>
  <c r="H6"/>
  <c r="F6"/>
  <c r="G6" s="1"/>
  <c r="E6"/>
  <c r="D6"/>
  <c r="C6"/>
  <c r="H5"/>
  <c r="H45" s="1"/>
  <c r="F5"/>
  <c r="E5"/>
  <c r="E45" s="1"/>
  <c r="D5"/>
  <c r="C5"/>
  <c r="A2"/>
  <c r="AO96" i="8"/>
  <c r="AN96"/>
  <c r="AO95"/>
  <c r="AN95"/>
  <c r="AO94"/>
  <c r="AN94"/>
  <c r="AO93"/>
  <c r="AN93"/>
  <c r="AO92"/>
  <c r="AN92"/>
  <c r="AO91"/>
  <c r="AN91"/>
  <c r="AO90"/>
  <c r="AN90"/>
  <c r="AO89"/>
  <c r="AN89"/>
  <c r="AO88"/>
  <c r="AN88"/>
  <c r="AO87"/>
  <c r="AN87"/>
  <c r="AO86"/>
  <c r="AN86"/>
  <c r="AO85"/>
  <c r="AN85"/>
  <c r="AO84"/>
  <c r="AN84"/>
  <c r="AO83"/>
  <c r="AN83"/>
  <c r="AO82"/>
  <c r="AN82"/>
  <c r="AO81"/>
  <c r="AN81"/>
  <c r="AO80"/>
  <c r="AQ80" s="1"/>
  <c r="AQ81" s="1"/>
  <c r="AN80"/>
  <c r="AP80" s="1"/>
  <c r="AO79"/>
  <c r="AN79"/>
  <c r="AO78"/>
  <c r="AN78"/>
  <c r="AO77"/>
  <c r="AN77"/>
  <c r="O77"/>
  <c r="P77" s="1"/>
  <c r="AO76"/>
  <c r="AN76"/>
  <c r="AO75"/>
  <c r="AN75"/>
  <c r="O75"/>
  <c r="P75" s="1"/>
  <c r="AO74"/>
  <c r="AN74"/>
  <c r="AO73"/>
  <c r="AN73"/>
  <c r="O73"/>
  <c r="P73" s="1"/>
  <c r="AO72"/>
  <c r="AN72"/>
  <c r="O72"/>
  <c r="P72" s="1"/>
  <c r="AO71"/>
  <c r="AN71"/>
  <c r="O71"/>
  <c r="P71" s="1"/>
  <c r="AO70"/>
  <c r="AN70"/>
  <c r="AO69"/>
  <c r="AN69"/>
  <c r="AO68"/>
  <c r="AN68"/>
  <c r="AO67"/>
  <c r="AN67"/>
  <c r="AO66"/>
  <c r="AN66"/>
  <c r="AO65"/>
  <c r="AN65"/>
  <c r="O65"/>
  <c r="P65" s="1"/>
  <c r="AO64"/>
  <c r="AN64"/>
  <c r="O64"/>
  <c r="P64" s="1"/>
  <c r="AO63"/>
  <c r="AN63"/>
  <c r="AO62"/>
  <c r="AN62"/>
  <c r="AO61"/>
  <c r="AN61"/>
  <c r="AO60"/>
  <c r="AN60"/>
  <c r="AO59"/>
  <c r="AN59"/>
  <c r="AO58"/>
  <c r="AN58"/>
  <c r="AO57"/>
  <c r="AN57"/>
  <c r="O57"/>
  <c r="P57" s="1"/>
  <c r="AO56"/>
  <c r="AN56"/>
  <c r="O56"/>
  <c r="P56" s="1"/>
  <c r="AO55"/>
  <c r="AN55"/>
  <c r="O51"/>
  <c r="P51" s="1"/>
  <c r="AO49"/>
  <c r="AN49"/>
  <c r="AO48"/>
  <c r="AN48"/>
  <c r="P21" s="1"/>
  <c r="AO47"/>
  <c r="AN47"/>
  <c r="P32" s="1"/>
  <c r="AO46"/>
  <c r="AN46"/>
  <c r="P24" s="1"/>
  <c r="T46"/>
  <c r="O46"/>
  <c r="R46" s="1"/>
  <c r="N46"/>
  <c r="U46" s="1"/>
  <c r="E46"/>
  <c r="D46"/>
  <c r="AO45"/>
  <c r="AN45"/>
  <c r="P26" s="1"/>
  <c r="F45"/>
  <c r="AO44"/>
  <c r="AN44"/>
  <c r="P22" s="1"/>
  <c r="F44"/>
  <c r="AO43"/>
  <c r="AN43"/>
  <c r="F43"/>
  <c r="AO42"/>
  <c r="AN42"/>
  <c r="P23" s="1"/>
  <c r="F42"/>
  <c r="AO41"/>
  <c r="AN41"/>
  <c r="P15" s="1"/>
  <c r="F41"/>
  <c r="AO40"/>
  <c r="AN40"/>
  <c r="P14" s="1"/>
  <c r="T40"/>
  <c r="F40"/>
  <c r="AO39"/>
  <c r="AN39"/>
  <c r="P12" s="1"/>
  <c r="F39"/>
  <c r="AO38"/>
  <c r="AN38"/>
  <c r="P29" s="1"/>
  <c r="T38"/>
  <c r="F38"/>
  <c r="AO37"/>
  <c r="AN37"/>
  <c r="F37"/>
  <c r="AO36"/>
  <c r="AN36"/>
  <c r="P17" s="1"/>
  <c r="F36"/>
  <c r="G36" s="1"/>
  <c r="AO35"/>
  <c r="AN35"/>
  <c r="P25" s="1"/>
  <c r="F35"/>
  <c r="G35" s="1"/>
  <c r="AO34"/>
  <c r="T11" s="1"/>
  <c r="AN34"/>
  <c r="J34"/>
  <c r="F34"/>
  <c r="I34" s="1"/>
  <c r="K34" s="1"/>
  <c r="AR33"/>
  <c r="AP33"/>
  <c r="P6" s="1"/>
  <c r="R6" s="1"/>
  <c r="AO33"/>
  <c r="AN33"/>
  <c r="R33"/>
  <c r="F33"/>
  <c r="G33" s="1"/>
  <c r="AO32"/>
  <c r="T33" s="1"/>
  <c r="AN32"/>
  <c r="P33" s="1"/>
  <c r="U33" s="1"/>
  <c r="U32"/>
  <c r="V32" s="1"/>
  <c r="T32"/>
  <c r="R32"/>
  <c r="F32"/>
  <c r="G32" s="1"/>
  <c r="AO31"/>
  <c r="AN31"/>
  <c r="P8" s="1"/>
  <c r="U8" s="1"/>
  <c r="F31"/>
  <c r="G31" s="1"/>
  <c r="AO30"/>
  <c r="T36" s="1"/>
  <c r="AN30"/>
  <c r="R30"/>
  <c r="F30"/>
  <c r="G30" s="1"/>
  <c r="AO29"/>
  <c r="AN29"/>
  <c r="P20" s="1"/>
  <c r="U29"/>
  <c r="V29" s="1"/>
  <c r="T29"/>
  <c r="R29"/>
  <c r="F29"/>
  <c r="G29" s="1"/>
  <c r="AO28"/>
  <c r="T44" s="1"/>
  <c r="AN28"/>
  <c r="R28"/>
  <c r="F28"/>
  <c r="G28" s="1"/>
  <c r="AO27"/>
  <c r="T41" s="1"/>
  <c r="AN27"/>
  <c r="R27"/>
  <c r="F27"/>
  <c r="G27" s="1"/>
  <c r="AO26"/>
  <c r="T42" s="1"/>
  <c r="AN26"/>
  <c r="U26"/>
  <c r="V26" s="1"/>
  <c r="T26"/>
  <c r="R26"/>
  <c r="F26"/>
  <c r="G26" s="1"/>
  <c r="AO25"/>
  <c r="AN25"/>
  <c r="U25"/>
  <c r="V25" s="1"/>
  <c r="T25"/>
  <c r="R25"/>
  <c r="F25"/>
  <c r="G25" s="1"/>
  <c r="AO24"/>
  <c r="T39" s="1"/>
  <c r="AN24"/>
  <c r="U24"/>
  <c r="V24" s="1"/>
  <c r="T24"/>
  <c r="R24"/>
  <c r="F24"/>
  <c r="G24" s="1"/>
  <c r="AO23"/>
  <c r="AN23"/>
  <c r="P19" s="1"/>
  <c r="U23"/>
  <c r="V23" s="1"/>
  <c r="T23"/>
  <c r="R23"/>
  <c r="F23"/>
  <c r="G23" s="1"/>
  <c r="AO22"/>
  <c r="AN22"/>
  <c r="P18" s="1"/>
  <c r="U22"/>
  <c r="V22" s="1"/>
  <c r="T22"/>
  <c r="R22"/>
  <c r="F22"/>
  <c r="G22" s="1"/>
  <c r="AO21"/>
  <c r="T27" s="1"/>
  <c r="AN21"/>
  <c r="P27" s="1"/>
  <c r="U27" s="1"/>
  <c r="U21"/>
  <c r="V21" s="1"/>
  <c r="T21"/>
  <c r="R21"/>
  <c r="F21"/>
  <c r="G21" s="1"/>
  <c r="AO20"/>
  <c r="T35" s="1"/>
  <c r="AN20"/>
  <c r="U20"/>
  <c r="V20" s="1"/>
  <c r="T20"/>
  <c r="R20"/>
  <c r="F20"/>
  <c r="G20" s="1"/>
  <c r="AO19"/>
  <c r="T30" s="1"/>
  <c r="AN19"/>
  <c r="P30" s="1"/>
  <c r="U30" s="1"/>
  <c r="U19"/>
  <c r="V19" s="1"/>
  <c r="T19"/>
  <c r="R19"/>
  <c r="F19"/>
  <c r="G19" s="1"/>
  <c r="AO18"/>
  <c r="AN18"/>
  <c r="U18"/>
  <c r="V18" s="1"/>
  <c r="T18"/>
  <c r="R18"/>
  <c r="F18"/>
  <c r="G18" s="1"/>
  <c r="AO17"/>
  <c r="T34" s="1"/>
  <c r="AN17"/>
  <c r="P34" s="1"/>
  <c r="U17"/>
  <c r="V17" s="1"/>
  <c r="T17"/>
  <c r="R17"/>
  <c r="F17"/>
  <c r="G17" s="1"/>
  <c r="AO16"/>
  <c r="T37" s="1"/>
  <c r="AN16"/>
  <c r="T16"/>
  <c r="F16"/>
  <c r="G16" s="1"/>
  <c r="AO15"/>
  <c r="T45" s="1"/>
  <c r="AN15"/>
  <c r="U15"/>
  <c r="V15" s="1"/>
  <c r="T15"/>
  <c r="R15"/>
  <c r="F15"/>
  <c r="G15" s="1"/>
  <c r="AO14"/>
  <c r="T28" s="1"/>
  <c r="AN14"/>
  <c r="P28" s="1"/>
  <c r="U28" s="1"/>
  <c r="U14"/>
  <c r="V14" s="1"/>
  <c r="T14"/>
  <c r="R14"/>
  <c r="F14"/>
  <c r="G14" s="1"/>
  <c r="AO13"/>
  <c r="T43" s="1"/>
  <c r="AN13"/>
  <c r="U13"/>
  <c r="V13" s="1"/>
  <c r="R13"/>
  <c r="F13"/>
  <c r="G13" s="1"/>
  <c r="AO12"/>
  <c r="T31" s="1"/>
  <c r="AN12"/>
  <c r="P31" s="1"/>
  <c r="U31" s="1"/>
  <c r="U12"/>
  <c r="V12" s="1"/>
  <c r="T12"/>
  <c r="R12"/>
  <c r="F12"/>
  <c r="G12" s="1"/>
  <c r="AO11"/>
  <c r="AN11"/>
  <c r="U11"/>
  <c r="V11" s="1"/>
  <c r="R11"/>
  <c r="P11"/>
  <c r="I11"/>
  <c r="J11" s="1"/>
  <c r="F11"/>
  <c r="G11" s="1"/>
  <c r="AO10"/>
  <c r="AN10"/>
  <c r="P10" s="1"/>
  <c r="R10" s="1"/>
  <c r="W10"/>
  <c r="U10"/>
  <c r="V10" s="1"/>
  <c r="T10"/>
  <c r="I10"/>
  <c r="J10" s="1"/>
  <c r="F10"/>
  <c r="G10" s="1"/>
  <c r="AO9"/>
  <c r="T13" s="1"/>
  <c r="AN9"/>
  <c r="P13" s="1"/>
  <c r="T9"/>
  <c r="I9"/>
  <c r="J9" s="1"/>
  <c r="F9"/>
  <c r="G9" s="1"/>
  <c r="AO8"/>
  <c r="AN8"/>
  <c r="P9" s="1"/>
  <c r="U9" s="1"/>
  <c r="T8"/>
  <c r="I8"/>
  <c r="J8" s="1"/>
  <c r="F8"/>
  <c r="G8" s="1"/>
  <c r="W7"/>
  <c r="U7"/>
  <c r="V7" s="1"/>
  <c r="T7"/>
  <c r="R7"/>
  <c r="P7"/>
  <c r="K7"/>
  <c r="I7"/>
  <c r="J7" s="1"/>
  <c r="G7"/>
  <c r="F7"/>
  <c r="K6"/>
  <c r="I6"/>
  <c r="J6" s="1"/>
  <c r="F6"/>
  <c r="A3"/>
  <c r="D23" i="12" l="1"/>
  <c r="D21"/>
  <c r="D19"/>
  <c r="Y23" i="16"/>
  <c r="I43" i="12"/>
  <c r="S37" i="14"/>
  <c r="T37" s="1"/>
  <c r="S9"/>
  <c r="Y16" i="16"/>
  <c r="Y31"/>
  <c r="Y42"/>
  <c r="Y26"/>
  <c r="Y21"/>
  <c r="Y35"/>
  <c r="Y30"/>
  <c r="Y25"/>
  <c r="Y36"/>
  <c r="Y6"/>
  <c r="Y7"/>
  <c r="Y22"/>
  <c r="Y17"/>
  <c r="Y39"/>
  <c r="Y28"/>
  <c r="Y8"/>
  <c r="Y32"/>
  <c r="Y5"/>
  <c r="Y20"/>
  <c r="Y33"/>
  <c r="Y38"/>
  <c r="Y45"/>
  <c r="Y40"/>
  <c r="Y11"/>
  <c r="Y41"/>
  <c r="Y15"/>
  <c r="Y34"/>
  <c r="Y43"/>
  <c r="Y13"/>
  <c r="Y27"/>
  <c r="Y24"/>
  <c r="Y9"/>
  <c r="Y29"/>
  <c r="Y44"/>
  <c r="Y18"/>
  <c r="Y37"/>
  <c r="Y14"/>
  <c r="Y10"/>
  <c r="Y12"/>
  <c r="D44" i="12"/>
  <c r="D16"/>
  <c r="I41"/>
  <c r="I39"/>
  <c r="I37"/>
  <c r="I35"/>
  <c r="I33"/>
  <c r="I31"/>
  <c r="I29"/>
  <c r="I27"/>
  <c r="I25"/>
  <c r="I23"/>
  <c r="I21"/>
  <c r="I19"/>
  <c r="I17"/>
  <c r="I15"/>
  <c r="I13"/>
  <c r="I11"/>
  <c r="I9"/>
  <c r="I6"/>
  <c r="I44"/>
  <c r="I42"/>
  <c r="I40"/>
  <c r="I38"/>
  <c r="I36"/>
  <c r="I34"/>
  <c r="I32"/>
  <c r="I30"/>
  <c r="I28"/>
  <c r="I26"/>
  <c r="I24"/>
  <c r="I22"/>
  <c r="I20"/>
  <c r="I18"/>
  <c r="I16"/>
  <c r="I14"/>
  <c r="I12"/>
  <c r="I10"/>
  <c r="I7"/>
  <c r="I5"/>
  <c r="I8"/>
  <c r="I4"/>
  <c r="D40"/>
  <c r="D38"/>
  <c r="D34"/>
  <c r="D32"/>
  <c r="D7"/>
  <c r="D31"/>
  <c r="D5"/>
  <c r="D24"/>
  <c r="D10"/>
  <c r="S21" i="14"/>
  <c r="U21" s="1"/>
  <c r="S35"/>
  <c r="U35" s="1"/>
  <c r="D29" i="12"/>
  <c r="D27"/>
  <c r="S14" i="14"/>
  <c r="T14" s="1"/>
  <c r="D15" i="12"/>
  <c r="D11"/>
  <c r="S38" i="14"/>
  <c r="T38" s="1"/>
  <c r="S32"/>
  <c r="T32" s="1"/>
  <c r="T35"/>
  <c r="U37"/>
  <c r="D43" i="12"/>
  <c r="D39"/>
  <c r="D35"/>
  <c r="D20"/>
  <c r="H41"/>
  <c r="H39"/>
  <c r="H35"/>
  <c r="H31"/>
  <c r="H23"/>
  <c r="H19"/>
  <c r="H17"/>
  <c r="H15"/>
  <c r="H11"/>
  <c r="H9"/>
  <c r="H6"/>
  <c r="S29" i="14"/>
  <c r="S22"/>
  <c r="D28" i="12"/>
  <c r="D26"/>
  <c r="D13"/>
  <c r="S27" i="14"/>
  <c r="U9"/>
  <c r="T9"/>
  <c r="D41" i="12"/>
  <c r="D18"/>
  <c r="H43"/>
  <c r="H37"/>
  <c r="H33"/>
  <c r="H29"/>
  <c r="H27"/>
  <c r="H25"/>
  <c r="H21"/>
  <c r="H13"/>
  <c r="D12"/>
  <c r="S5" i="14"/>
  <c r="S42"/>
  <c r="S12"/>
  <c r="S8"/>
  <c r="S31"/>
  <c r="S41"/>
  <c r="S40"/>
  <c r="S30"/>
  <c r="S10"/>
  <c r="S4"/>
  <c r="S23"/>
  <c r="S33"/>
  <c r="S34"/>
  <c r="S36"/>
  <c r="S18"/>
  <c r="S13"/>
  <c r="S19"/>
  <c r="S15"/>
  <c r="S20"/>
  <c r="S17"/>
  <c r="S24"/>
  <c r="S26"/>
  <c r="S6"/>
  <c r="S39"/>
  <c r="S25"/>
  <c r="S43"/>
  <c r="S7"/>
  <c r="S11"/>
  <c r="S16"/>
  <c r="S28"/>
  <c r="D33" i="12"/>
  <c r="D30"/>
  <c r="D22"/>
  <c r="D14"/>
  <c r="D42"/>
  <c r="D37"/>
  <c r="D9"/>
  <c r="H44"/>
  <c r="H42"/>
  <c r="H40"/>
  <c r="H38"/>
  <c r="H36"/>
  <c r="H34"/>
  <c r="H32"/>
  <c r="H30"/>
  <c r="H28"/>
  <c r="H26"/>
  <c r="H24"/>
  <c r="H22"/>
  <c r="H20"/>
  <c r="H18"/>
  <c r="H16"/>
  <c r="H14"/>
  <c r="H12"/>
  <c r="H10"/>
  <c r="H7"/>
  <c r="H5"/>
  <c r="D25"/>
  <c r="D17"/>
  <c r="D6"/>
  <c r="D36"/>
  <c r="W12" i="13"/>
  <c r="X11"/>
  <c r="Y12"/>
  <c r="Z11"/>
  <c r="AA12"/>
  <c r="AB11"/>
  <c r="Q12"/>
  <c r="R11"/>
  <c r="S12"/>
  <c r="T11"/>
  <c r="U12"/>
  <c r="V11"/>
  <c r="H4" i="12"/>
  <c r="D4"/>
  <c r="I13" i="11"/>
  <c r="K13" s="1"/>
  <c r="J13"/>
  <c r="I21"/>
  <c r="J21"/>
  <c r="I29"/>
  <c r="K29" s="1"/>
  <c r="J29"/>
  <c r="I9"/>
  <c r="K9" s="1"/>
  <c r="J9"/>
  <c r="I17"/>
  <c r="J17"/>
  <c r="I25"/>
  <c r="K25" s="1"/>
  <c r="J25"/>
  <c r="I36"/>
  <c r="J36"/>
  <c r="I44"/>
  <c r="K44" s="1"/>
  <c r="J44"/>
  <c r="I5"/>
  <c r="K5" s="1"/>
  <c r="J5"/>
  <c r="L5" s="1"/>
  <c r="L13"/>
  <c r="I16"/>
  <c r="J16"/>
  <c r="L21"/>
  <c r="K21"/>
  <c r="I24"/>
  <c r="J24"/>
  <c r="L29"/>
  <c r="I35"/>
  <c r="K35" s="1"/>
  <c r="J35"/>
  <c r="L35" s="1"/>
  <c r="I43"/>
  <c r="K43" s="1"/>
  <c r="J43"/>
  <c r="L43" s="1"/>
  <c r="K20"/>
  <c r="K28"/>
  <c r="I8"/>
  <c r="K8" s="1"/>
  <c r="J8"/>
  <c r="L8" s="1"/>
  <c r="I32"/>
  <c r="K32" s="1"/>
  <c r="J32"/>
  <c r="L32" s="1"/>
  <c r="I40"/>
  <c r="K40" s="1"/>
  <c r="J40"/>
  <c r="L40" s="1"/>
  <c r="L9"/>
  <c r="I12"/>
  <c r="K12" s="1"/>
  <c r="J12"/>
  <c r="L17"/>
  <c r="K17"/>
  <c r="I20"/>
  <c r="J20"/>
  <c r="L25"/>
  <c r="I28"/>
  <c r="J28"/>
  <c r="L36"/>
  <c r="K36"/>
  <c r="I39"/>
  <c r="K39" s="1"/>
  <c r="J39"/>
  <c r="L39" s="1"/>
  <c r="L44"/>
  <c r="K16"/>
  <c r="K24"/>
  <c r="L10"/>
  <c r="L26"/>
  <c r="L41"/>
  <c r="C46"/>
  <c r="D46" s="1"/>
  <c r="G46"/>
  <c r="H46" s="1"/>
  <c r="L7"/>
  <c r="L11"/>
  <c r="L15"/>
  <c r="L19"/>
  <c r="L23"/>
  <c r="L27"/>
  <c r="L31"/>
  <c r="L34"/>
  <c r="L38"/>
  <c r="L42"/>
  <c r="J6"/>
  <c r="L6" s="1"/>
  <c r="J10"/>
  <c r="L12"/>
  <c r="J14"/>
  <c r="L14" s="1"/>
  <c r="L16"/>
  <c r="J18"/>
  <c r="L18" s="1"/>
  <c r="L20"/>
  <c r="J22"/>
  <c r="L22" s="1"/>
  <c r="L24"/>
  <c r="J26"/>
  <c r="L28"/>
  <c r="J30"/>
  <c r="L30" s="1"/>
  <c r="J33"/>
  <c r="L33" s="1"/>
  <c r="M33" s="1"/>
  <c r="J37"/>
  <c r="L37" s="1"/>
  <c r="J41"/>
  <c r="I6" i="10"/>
  <c r="K6" s="1"/>
  <c r="J6"/>
  <c r="J9"/>
  <c r="I9"/>
  <c r="I10"/>
  <c r="K10" s="1"/>
  <c r="J10"/>
  <c r="I20"/>
  <c r="K20" s="1"/>
  <c r="J20"/>
  <c r="L20" s="1"/>
  <c r="J25"/>
  <c r="I25"/>
  <c r="I26"/>
  <c r="K26" s="1"/>
  <c r="J26"/>
  <c r="I38"/>
  <c r="K38" s="1"/>
  <c r="J38"/>
  <c r="L38" s="1"/>
  <c r="J43"/>
  <c r="I43"/>
  <c r="J44"/>
  <c r="L44" s="1"/>
  <c r="I44"/>
  <c r="J13"/>
  <c r="I13"/>
  <c r="I14"/>
  <c r="J14"/>
  <c r="L14" s="1"/>
  <c r="I24"/>
  <c r="K24" s="1"/>
  <c r="J24"/>
  <c r="L24" s="1"/>
  <c r="J29"/>
  <c r="I29"/>
  <c r="J30"/>
  <c r="L30" s="1"/>
  <c r="I30"/>
  <c r="K30" s="1"/>
  <c r="J31"/>
  <c r="I31"/>
  <c r="J32"/>
  <c r="L32" s="1"/>
  <c r="I32"/>
  <c r="I42"/>
  <c r="K42" s="1"/>
  <c r="J42"/>
  <c r="L42" s="1"/>
  <c r="K13"/>
  <c r="L29"/>
  <c r="L31"/>
  <c r="I12"/>
  <c r="K12" s="1"/>
  <c r="J12"/>
  <c r="L12" s="1"/>
  <c r="J17"/>
  <c r="I17"/>
  <c r="K17" s="1"/>
  <c r="I18"/>
  <c r="K18" s="1"/>
  <c r="J18"/>
  <c r="L18" s="1"/>
  <c r="I28"/>
  <c r="K28" s="1"/>
  <c r="J28"/>
  <c r="J35"/>
  <c r="I35"/>
  <c r="K35" s="1"/>
  <c r="I36"/>
  <c r="K36" s="1"/>
  <c r="J36"/>
  <c r="L36" s="1"/>
  <c r="I16"/>
  <c r="J16"/>
  <c r="J21"/>
  <c r="I21"/>
  <c r="I22"/>
  <c r="K22" s="1"/>
  <c r="J22"/>
  <c r="I34"/>
  <c r="J34"/>
  <c r="L34" s="1"/>
  <c r="J39"/>
  <c r="I39"/>
  <c r="I40"/>
  <c r="K40" s="1"/>
  <c r="J40"/>
  <c r="L40" s="1"/>
  <c r="L16"/>
  <c r="K21"/>
  <c r="K39"/>
  <c r="K44"/>
  <c r="K9"/>
  <c r="K14"/>
  <c r="K25"/>
  <c r="K32"/>
  <c r="L43"/>
  <c r="G7"/>
  <c r="G11"/>
  <c r="G15"/>
  <c r="G19"/>
  <c r="G23"/>
  <c r="L28"/>
  <c r="G33"/>
  <c r="C8"/>
  <c r="C45" s="1"/>
  <c r="D45" s="1"/>
  <c r="L9"/>
  <c r="L13"/>
  <c r="K16"/>
  <c r="L17"/>
  <c r="L21"/>
  <c r="L25"/>
  <c r="K34"/>
  <c r="L35"/>
  <c r="L39"/>
  <c r="G5"/>
  <c r="L6"/>
  <c r="L10"/>
  <c r="L22"/>
  <c r="L26"/>
  <c r="K29"/>
  <c r="K31"/>
  <c r="K43"/>
  <c r="G27"/>
  <c r="G37"/>
  <c r="G41"/>
  <c r="F45"/>
  <c r="V31" i="8"/>
  <c r="W31"/>
  <c r="V33"/>
  <c r="W33"/>
  <c r="V9"/>
  <c r="W9"/>
  <c r="V28"/>
  <c r="W28"/>
  <c r="R34"/>
  <c r="U34"/>
  <c r="V30"/>
  <c r="W30"/>
  <c r="V27"/>
  <c r="W27"/>
  <c r="V8"/>
  <c r="W8"/>
  <c r="G37"/>
  <c r="I37"/>
  <c r="Q51"/>
  <c r="R51"/>
  <c r="G40"/>
  <c r="I40"/>
  <c r="G41"/>
  <c r="I41"/>
  <c r="G43"/>
  <c r="I43"/>
  <c r="G45"/>
  <c r="I45"/>
  <c r="R31"/>
  <c r="U6"/>
  <c r="R8"/>
  <c r="R9"/>
  <c r="W11"/>
  <c r="W12"/>
  <c r="W13"/>
  <c r="W14"/>
  <c r="W15"/>
  <c r="W17"/>
  <c r="W18"/>
  <c r="W19"/>
  <c r="W20"/>
  <c r="W21"/>
  <c r="W22"/>
  <c r="W23"/>
  <c r="W24"/>
  <c r="X24" s="1"/>
  <c r="X25" s="1"/>
  <c r="X26" s="1"/>
  <c r="X27" s="1"/>
  <c r="X28" s="1"/>
  <c r="X29" s="1"/>
  <c r="X30" s="1"/>
  <c r="X31" s="1"/>
  <c r="X32" s="1"/>
  <c r="X33" s="1"/>
  <c r="W25"/>
  <c r="W26"/>
  <c r="W29"/>
  <c r="W32"/>
  <c r="AQ33"/>
  <c r="G34"/>
  <c r="O53"/>
  <c r="P53" s="1"/>
  <c r="P38"/>
  <c r="O84"/>
  <c r="P84" s="1"/>
  <c r="P35"/>
  <c r="O79"/>
  <c r="P79" s="1"/>
  <c r="G39"/>
  <c r="I39"/>
  <c r="Q56"/>
  <c r="R56"/>
  <c r="Q57"/>
  <c r="R57"/>
  <c r="Q64"/>
  <c r="R64"/>
  <c r="Q65"/>
  <c r="R65"/>
  <c r="Q71"/>
  <c r="R71"/>
  <c r="Q72"/>
  <c r="R72"/>
  <c r="Q73"/>
  <c r="R73"/>
  <c r="Q75"/>
  <c r="R75"/>
  <c r="Q77"/>
  <c r="R77"/>
  <c r="K11"/>
  <c r="O55"/>
  <c r="P55" s="1"/>
  <c r="O58"/>
  <c r="P58" s="1"/>
  <c r="O59"/>
  <c r="P59" s="1"/>
  <c r="O60"/>
  <c r="P60" s="1"/>
  <c r="O61"/>
  <c r="P61" s="1"/>
  <c r="O62"/>
  <c r="P62" s="1"/>
  <c r="O63"/>
  <c r="P63" s="1"/>
  <c r="O66"/>
  <c r="P66" s="1"/>
  <c r="O67"/>
  <c r="P67" s="1"/>
  <c r="O68"/>
  <c r="P68" s="1"/>
  <c r="O69"/>
  <c r="P69" s="1"/>
  <c r="O70"/>
  <c r="P70" s="1"/>
  <c r="O74"/>
  <c r="P74" s="1"/>
  <c r="O76"/>
  <c r="P76" s="1"/>
  <c r="O78"/>
  <c r="P78" s="1"/>
  <c r="P43"/>
  <c r="O86"/>
  <c r="P86" s="1"/>
  <c r="P45"/>
  <c r="O89"/>
  <c r="P89" s="1"/>
  <c r="P37"/>
  <c r="O82"/>
  <c r="P82" s="1"/>
  <c r="P40"/>
  <c r="O80"/>
  <c r="P80" s="1"/>
  <c r="P39"/>
  <c r="O87"/>
  <c r="P87" s="1"/>
  <c r="P16"/>
  <c r="O54"/>
  <c r="P54" s="1"/>
  <c r="P42"/>
  <c r="O85"/>
  <c r="P85" s="1"/>
  <c r="P41"/>
  <c r="O83"/>
  <c r="P83" s="1"/>
  <c r="P44"/>
  <c r="O88"/>
  <c r="P88" s="1"/>
  <c r="P36"/>
  <c r="O81"/>
  <c r="P81" s="1"/>
  <c r="G6"/>
  <c r="F46"/>
  <c r="G38"/>
  <c r="I38"/>
  <c r="G42"/>
  <c r="I42"/>
  <c r="G44"/>
  <c r="I44"/>
  <c r="K8"/>
  <c r="K9"/>
  <c r="K10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5"/>
  <c r="I36"/>
  <c r="O52"/>
  <c r="P52" s="1"/>
  <c r="O50"/>
  <c r="P50" s="1"/>
  <c r="U38" i="14" l="1"/>
  <c r="U14"/>
  <c r="J10" i="12"/>
  <c r="K10" s="1"/>
  <c r="J34"/>
  <c r="K34" s="1"/>
  <c r="J13"/>
  <c r="K13" s="1"/>
  <c r="J23"/>
  <c r="K23" s="1"/>
  <c r="J7"/>
  <c r="K7" s="1"/>
  <c r="J16"/>
  <c r="K16" s="1"/>
  <c r="J24"/>
  <c r="K24" s="1"/>
  <c r="J32"/>
  <c r="K32" s="1"/>
  <c r="J40"/>
  <c r="K40" s="1"/>
  <c r="J27"/>
  <c r="K27" s="1"/>
  <c r="J43"/>
  <c r="K43" s="1"/>
  <c r="J9"/>
  <c r="K9" s="1"/>
  <c r="J19"/>
  <c r="K19" s="1"/>
  <c r="J39"/>
  <c r="K39" s="1"/>
  <c r="J42"/>
  <c r="K42" s="1"/>
  <c r="J29"/>
  <c r="K29" s="1"/>
  <c r="J41"/>
  <c r="K41" s="1"/>
  <c r="J5"/>
  <c r="K5" s="1"/>
  <c r="J14"/>
  <c r="K14" s="1"/>
  <c r="J22"/>
  <c r="K22" s="1"/>
  <c r="J30"/>
  <c r="K30" s="1"/>
  <c r="J38"/>
  <c r="K38" s="1"/>
  <c r="J25"/>
  <c r="K25" s="1"/>
  <c r="J37"/>
  <c r="K37" s="1"/>
  <c r="J6"/>
  <c r="K6" s="1"/>
  <c r="J17"/>
  <c r="K17" s="1"/>
  <c r="J35"/>
  <c r="K35" s="1"/>
  <c r="J8"/>
  <c r="K8" s="1"/>
  <c r="J4"/>
  <c r="K4" s="1"/>
  <c r="J18"/>
  <c r="K18" s="1"/>
  <c r="J26"/>
  <c r="K26" s="1"/>
  <c r="J11"/>
  <c r="K11" s="1"/>
  <c r="J12"/>
  <c r="K12" s="1"/>
  <c r="J20"/>
  <c r="K20" s="1"/>
  <c r="J28"/>
  <c r="K28" s="1"/>
  <c r="J36"/>
  <c r="K36" s="1"/>
  <c r="J44"/>
  <c r="K44" s="1"/>
  <c r="J21"/>
  <c r="K21" s="1"/>
  <c r="J33"/>
  <c r="K33" s="1"/>
  <c r="J15"/>
  <c r="K15" s="1"/>
  <c r="J31"/>
  <c r="K31" s="1"/>
  <c r="U32" i="14"/>
  <c r="T21"/>
  <c r="U7"/>
  <c r="T7"/>
  <c r="U20"/>
  <c r="T20"/>
  <c r="U23"/>
  <c r="T23"/>
  <c r="U12"/>
  <c r="T12"/>
  <c r="T22"/>
  <c r="U22"/>
  <c r="U11"/>
  <c r="T11"/>
  <c r="U39"/>
  <c r="T39"/>
  <c r="T17"/>
  <c r="U17"/>
  <c r="T13"/>
  <c r="U13"/>
  <c r="T33"/>
  <c r="U33"/>
  <c r="T30"/>
  <c r="U30"/>
  <c r="T8"/>
  <c r="U8"/>
  <c r="U16"/>
  <c r="T16"/>
  <c r="T25"/>
  <c r="U25"/>
  <c r="U24"/>
  <c r="T24"/>
  <c r="U19"/>
  <c r="T19"/>
  <c r="T34"/>
  <c r="U34"/>
  <c r="T10"/>
  <c r="U10"/>
  <c r="U31"/>
  <c r="T31"/>
  <c r="T5"/>
  <c r="U5"/>
  <c r="E17" i="12"/>
  <c r="X17" s="1"/>
  <c r="T6" i="14"/>
  <c r="U6"/>
  <c r="T18"/>
  <c r="U18"/>
  <c r="U40"/>
  <c r="T40"/>
  <c r="U27"/>
  <c r="T27"/>
  <c r="U28"/>
  <c r="T28"/>
  <c r="U43"/>
  <c r="T43"/>
  <c r="T26"/>
  <c r="U26"/>
  <c r="U15"/>
  <c r="T15"/>
  <c r="U36"/>
  <c r="T36"/>
  <c r="U4"/>
  <c r="T4"/>
  <c r="T41"/>
  <c r="U41"/>
  <c r="T42"/>
  <c r="U42"/>
  <c r="T29"/>
  <c r="U29"/>
  <c r="E5" i="12"/>
  <c r="E13"/>
  <c r="E21"/>
  <c r="X21" s="1"/>
  <c r="E29"/>
  <c r="E4"/>
  <c r="E8"/>
  <c r="X8" s="1"/>
  <c r="E42"/>
  <c r="E33"/>
  <c r="E20"/>
  <c r="E39"/>
  <c r="X39" s="1"/>
  <c r="E16"/>
  <c r="X16" s="1"/>
  <c r="E12"/>
  <c r="X12" s="1"/>
  <c r="E34"/>
  <c r="E6"/>
  <c r="X6" s="1"/>
  <c r="E37"/>
  <c r="E30"/>
  <c r="X30" s="1"/>
  <c r="E10"/>
  <c r="E18"/>
  <c r="X18" s="1"/>
  <c r="E35"/>
  <c r="E44"/>
  <c r="X44" s="1"/>
  <c r="E32"/>
  <c r="E36"/>
  <c r="X36" s="1"/>
  <c r="E9"/>
  <c r="E22"/>
  <c r="E11"/>
  <c r="E31"/>
  <c r="X31" s="1"/>
  <c r="E43"/>
  <c r="E27"/>
  <c r="X27" s="1"/>
  <c r="E19"/>
  <c r="E40"/>
  <c r="X40" s="1"/>
  <c r="E25"/>
  <c r="E14"/>
  <c r="E28"/>
  <c r="X28" s="1"/>
  <c r="E24"/>
  <c r="E41"/>
  <c r="X41" s="1"/>
  <c r="E23"/>
  <c r="E15"/>
  <c r="E38"/>
  <c r="X38" s="1"/>
  <c r="E26"/>
  <c r="E7"/>
  <c r="X7" s="1"/>
  <c r="S13" i="13"/>
  <c r="T13" s="1"/>
  <c r="T12"/>
  <c r="AA13"/>
  <c r="AB13" s="1"/>
  <c r="AB12"/>
  <c r="W13"/>
  <c r="X13" s="1"/>
  <c r="X12"/>
  <c r="U13"/>
  <c r="V13" s="1"/>
  <c r="V12"/>
  <c r="Q13"/>
  <c r="R13" s="1"/>
  <c r="R12"/>
  <c r="Y13"/>
  <c r="Z13" s="1"/>
  <c r="Z14" s="1"/>
  <c r="Z12"/>
  <c r="M30" i="11"/>
  <c r="M22"/>
  <c r="M14"/>
  <c r="M40"/>
  <c r="M8"/>
  <c r="M43"/>
  <c r="M5"/>
  <c r="M6"/>
  <c r="M37"/>
  <c r="M18"/>
  <c r="M39"/>
  <c r="M32"/>
  <c r="M35"/>
  <c r="M28"/>
  <c r="M20"/>
  <c r="M42"/>
  <c r="M11"/>
  <c r="M26"/>
  <c r="M21"/>
  <c r="M36"/>
  <c r="M17"/>
  <c r="M24"/>
  <c r="M16"/>
  <c r="M34"/>
  <c r="M19"/>
  <c r="M12"/>
  <c r="M27"/>
  <c r="M41"/>
  <c r="M10"/>
  <c r="M29"/>
  <c r="M13"/>
  <c r="M31"/>
  <c r="M15"/>
  <c r="M44"/>
  <c r="M25"/>
  <c r="M9"/>
  <c r="M38"/>
  <c r="M23"/>
  <c r="M7"/>
  <c r="J27" i="10"/>
  <c r="L27" s="1"/>
  <c r="I27"/>
  <c r="K27" s="1"/>
  <c r="J37"/>
  <c r="L37" s="1"/>
  <c r="I37"/>
  <c r="K37" s="1"/>
  <c r="J33"/>
  <c r="L33" s="1"/>
  <c r="I33"/>
  <c r="K33" s="1"/>
  <c r="I15"/>
  <c r="K15" s="1"/>
  <c r="J15"/>
  <c r="L15" s="1"/>
  <c r="I41"/>
  <c r="K41" s="1"/>
  <c r="J41"/>
  <c r="L41" s="1"/>
  <c r="I19"/>
  <c r="K19" s="1"/>
  <c r="J19"/>
  <c r="L19" s="1"/>
  <c r="G45"/>
  <c r="G8"/>
  <c r="D8"/>
  <c r="J11"/>
  <c r="L11" s="1"/>
  <c r="I11"/>
  <c r="K11" s="1"/>
  <c r="J5"/>
  <c r="L5" s="1"/>
  <c r="I5"/>
  <c r="K5" s="1"/>
  <c r="I23"/>
  <c r="K23" s="1"/>
  <c r="J23"/>
  <c r="L23" s="1"/>
  <c r="I7"/>
  <c r="K7" s="1"/>
  <c r="J7"/>
  <c r="L7" s="1"/>
  <c r="J45" i="8"/>
  <c r="K45"/>
  <c r="J41"/>
  <c r="K41"/>
  <c r="Z27"/>
  <c r="Z31"/>
  <c r="J35"/>
  <c r="K35"/>
  <c r="J30"/>
  <c r="K30"/>
  <c r="J26"/>
  <c r="K26"/>
  <c r="J22"/>
  <c r="K22"/>
  <c r="J18"/>
  <c r="K18"/>
  <c r="J14"/>
  <c r="K14"/>
  <c r="J44"/>
  <c r="K44"/>
  <c r="J38"/>
  <c r="K38"/>
  <c r="Q83"/>
  <c r="R83"/>
  <c r="Q80"/>
  <c r="R80"/>
  <c r="Q69"/>
  <c r="R69"/>
  <c r="Q63"/>
  <c r="R63"/>
  <c r="Q79"/>
  <c r="R79"/>
  <c r="J31"/>
  <c r="K31"/>
  <c r="J23"/>
  <c r="K23"/>
  <c r="J15"/>
  <c r="K15"/>
  <c r="R42"/>
  <c r="U42"/>
  <c r="R39"/>
  <c r="U39"/>
  <c r="R43"/>
  <c r="U43"/>
  <c r="Q60"/>
  <c r="R60"/>
  <c r="Z29"/>
  <c r="R81"/>
  <c r="Q81"/>
  <c r="R54"/>
  <c r="Q54"/>
  <c r="Q89"/>
  <c r="R89"/>
  <c r="Q78"/>
  <c r="R78"/>
  <c r="Q59"/>
  <c r="R59"/>
  <c r="Q53"/>
  <c r="R53"/>
  <c r="J36"/>
  <c r="K36"/>
  <c r="J27"/>
  <c r="K27"/>
  <c r="J19"/>
  <c r="K19"/>
  <c r="R44"/>
  <c r="U44"/>
  <c r="R37"/>
  <c r="U37"/>
  <c r="Q70"/>
  <c r="R70"/>
  <c r="Q66"/>
  <c r="R66"/>
  <c r="R38"/>
  <c r="U38"/>
  <c r="W34"/>
  <c r="V34"/>
  <c r="R52"/>
  <c r="Q52"/>
  <c r="J32"/>
  <c r="K32"/>
  <c r="J28"/>
  <c r="K28"/>
  <c r="J24"/>
  <c r="K24"/>
  <c r="J20"/>
  <c r="K20"/>
  <c r="J16"/>
  <c r="K16"/>
  <c r="J12"/>
  <c r="K12"/>
  <c r="J42"/>
  <c r="K42"/>
  <c r="G46"/>
  <c r="I46"/>
  <c r="Q88"/>
  <c r="R88"/>
  <c r="Q85"/>
  <c r="R85"/>
  <c r="Q87"/>
  <c r="R87"/>
  <c r="Q82"/>
  <c r="R82"/>
  <c r="Q86"/>
  <c r="R86"/>
  <c r="Q74"/>
  <c r="R74"/>
  <c r="Q67"/>
  <c r="R67"/>
  <c r="Q61"/>
  <c r="R61"/>
  <c r="Q55"/>
  <c r="R55"/>
  <c r="J39"/>
  <c r="K39"/>
  <c r="Q84"/>
  <c r="R84"/>
  <c r="T6"/>
  <c r="AQ34"/>
  <c r="V6"/>
  <c r="Z6" s="1"/>
  <c r="W6"/>
  <c r="X6" s="1"/>
  <c r="X7" s="1"/>
  <c r="J43"/>
  <c r="K43"/>
  <c r="K40"/>
  <c r="J40"/>
  <c r="J37"/>
  <c r="K37"/>
  <c r="Z26"/>
  <c r="Z32"/>
  <c r="Z30"/>
  <c r="Z28"/>
  <c r="Z33"/>
  <c r="R50"/>
  <c r="Q50"/>
  <c r="J33"/>
  <c r="K33"/>
  <c r="J29"/>
  <c r="K29"/>
  <c r="J25"/>
  <c r="K25"/>
  <c r="J21"/>
  <c r="K21"/>
  <c r="J17"/>
  <c r="K17"/>
  <c r="J13"/>
  <c r="K13"/>
  <c r="U36"/>
  <c r="R36"/>
  <c r="R41"/>
  <c r="U41"/>
  <c r="U16"/>
  <c r="R16"/>
  <c r="R40"/>
  <c r="U40"/>
  <c r="R45"/>
  <c r="U45"/>
  <c r="Q76"/>
  <c r="R76"/>
  <c r="Q68"/>
  <c r="R68"/>
  <c r="Q62"/>
  <c r="R62"/>
  <c r="Q58"/>
  <c r="R58"/>
  <c r="U35"/>
  <c r="R35"/>
  <c r="Z25"/>
  <c r="Z24"/>
  <c r="X24" i="12" l="1"/>
  <c r="X25"/>
  <c r="X43"/>
  <c r="X35"/>
  <c r="X42"/>
  <c r="X14"/>
  <c r="X33"/>
  <c r="X13"/>
  <c r="X23"/>
  <c r="X22"/>
  <c r="X29"/>
  <c r="X15"/>
  <c r="X19"/>
  <c r="X11"/>
  <c r="X32"/>
  <c r="X10"/>
  <c r="X34"/>
  <c r="X20"/>
  <c r="X4"/>
  <c r="X5"/>
  <c r="X26"/>
  <c r="X9"/>
  <c r="X37"/>
  <c r="U44" i="14"/>
  <c r="T44"/>
  <c r="T47" s="1"/>
  <c r="AB14" i="13"/>
  <c r="V14"/>
  <c r="R14"/>
  <c r="X14"/>
  <c r="T14"/>
  <c r="L8" i="10"/>
  <c r="M5"/>
  <c r="M16"/>
  <c r="M34"/>
  <c r="M7"/>
  <c r="M26"/>
  <c r="M41"/>
  <c r="M38"/>
  <c r="I8"/>
  <c r="K8" s="1"/>
  <c r="J8"/>
  <c r="M19"/>
  <c r="M32"/>
  <c r="M31"/>
  <c r="M11"/>
  <c r="M10"/>
  <c r="M37"/>
  <c r="M18"/>
  <c r="V40" i="8"/>
  <c r="W40"/>
  <c r="V41"/>
  <c r="W41"/>
  <c r="V16"/>
  <c r="W16"/>
  <c r="X14" s="1"/>
  <c r="V36"/>
  <c r="W36"/>
  <c r="X8"/>
  <c r="Z7"/>
  <c r="V37"/>
  <c r="W37"/>
  <c r="V43"/>
  <c r="W43"/>
  <c r="V42"/>
  <c r="W42"/>
  <c r="T79"/>
  <c r="Y35" s="1"/>
  <c r="V45"/>
  <c r="W45"/>
  <c r="T82"/>
  <c r="Y37" s="1"/>
  <c r="T85"/>
  <c r="Y42" s="1"/>
  <c r="T78"/>
  <c r="Y34" s="1"/>
  <c r="V35"/>
  <c r="W35"/>
  <c r="X34" s="1"/>
  <c r="V38"/>
  <c r="W38"/>
  <c r="V44"/>
  <c r="W44"/>
  <c r="V39"/>
  <c r="W39"/>
  <c r="S50"/>
  <c r="S51" s="1"/>
  <c r="S78"/>
  <c r="S79" s="1"/>
  <c r="S80" s="1"/>
  <c r="S81" s="1"/>
  <c r="S82" s="1"/>
  <c r="S83" s="1"/>
  <c r="S84" s="1"/>
  <c r="S85" s="1"/>
  <c r="S86" s="1"/>
  <c r="S87" s="1"/>
  <c r="S88" s="1"/>
  <c r="S89" s="1"/>
  <c r="T89" s="1"/>
  <c r="Y45" s="1"/>
  <c r="Y5" i="12" l="1"/>
  <c r="Y26"/>
  <c r="Y37"/>
  <c r="Y4"/>
  <c r="Y32"/>
  <c r="Y29"/>
  <c r="Y12"/>
  <c r="Y14"/>
  <c r="Y16"/>
  <c r="Y41"/>
  <c r="Y39"/>
  <c r="Y31"/>
  <c r="Y28"/>
  <c r="Y10"/>
  <c r="Y15"/>
  <c r="Y33"/>
  <c r="Y27"/>
  <c r="Y42"/>
  <c r="Y25"/>
  <c r="Y8"/>
  <c r="Y36"/>
  <c r="Y38"/>
  <c r="Y34"/>
  <c r="Y19"/>
  <c r="Y23"/>
  <c r="Y44"/>
  <c r="Y21"/>
  <c r="Y43"/>
  <c r="Y13"/>
  <c r="Y18"/>
  <c r="Y24"/>
  <c r="Y9"/>
  <c r="Y20"/>
  <c r="Y11"/>
  <c r="Y22"/>
  <c r="Y30"/>
  <c r="Y7"/>
  <c r="Y35"/>
  <c r="Y17"/>
  <c r="Y6"/>
  <c r="Y40"/>
  <c r="M8" i="10"/>
  <c r="M25"/>
  <c r="M40"/>
  <c r="M12"/>
  <c r="M17"/>
  <c r="M9"/>
  <c r="M42"/>
  <c r="M20"/>
  <c r="M28"/>
  <c r="M29"/>
  <c r="M44"/>
  <c r="M6"/>
  <c r="M35"/>
  <c r="M27"/>
  <c r="M36"/>
  <c r="M22"/>
  <c r="M13"/>
  <c r="M39"/>
  <c r="M23"/>
  <c r="M24"/>
  <c r="M43"/>
  <c r="M14"/>
  <c r="M30"/>
  <c r="M21"/>
  <c r="M33"/>
  <c r="M15"/>
  <c r="X35" i="8"/>
  <c r="X36" s="1"/>
  <c r="X37" s="1"/>
  <c r="X38" s="1"/>
  <c r="X39" s="1"/>
  <c r="Z34"/>
  <c r="X9"/>
  <c r="Z8"/>
  <c r="X15"/>
  <c r="Z14"/>
  <c r="Z39"/>
  <c r="T86"/>
  <c r="Y43" s="1"/>
  <c r="T50"/>
  <c r="Y14" s="1"/>
  <c r="X40"/>
  <c r="X41" s="1"/>
  <c r="X42" s="1"/>
  <c r="X43" s="1"/>
  <c r="X44" s="1"/>
  <c r="X45" s="1"/>
  <c r="T80"/>
  <c r="Y40" s="1"/>
  <c r="T81"/>
  <c r="Y36" s="1"/>
  <c r="T83"/>
  <c r="Y41" s="1"/>
  <c r="T87"/>
  <c r="Y39" s="1"/>
  <c r="T84"/>
  <c r="Y38" s="1"/>
  <c r="Z42"/>
  <c r="Z37"/>
  <c r="Z41"/>
  <c r="S52"/>
  <c r="T51"/>
  <c r="Y24" s="1"/>
  <c r="Z35"/>
  <c r="Z45"/>
  <c r="T88"/>
  <c r="Y44" s="1"/>
  <c r="X16" l="1"/>
  <c r="Z15"/>
  <c r="Z44"/>
  <c r="Z36"/>
  <c r="Z38"/>
  <c r="X10"/>
  <c r="Z9"/>
  <c r="Z43"/>
  <c r="S53"/>
  <c r="T52"/>
  <c r="Y15" s="1"/>
  <c r="Z40"/>
  <c r="X11" l="1"/>
  <c r="Z10"/>
  <c r="S54"/>
  <c r="T53"/>
  <c r="Y6" s="1"/>
  <c r="X17"/>
  <c r="Z16"/>
  <c r="X12" l="1"/>
  <c r="Z11"/>
  <c r="X18"/>
  <c r="Z17"/>
  <c r="S55"/>
  <c r="T54"/>
  <c r="Y16" s="1"/>
  <c r="S56" l="1"/>
  <c r="T55"/>
  <c r="Y25" s="1"/>
  <c r="X13"/>
  <c r="Z13" s="1"/>
  <c r="Z12"/>
  <c r="X19"/>
  <c r="Z18"/>
  <c r="X20" l="1"/>
  <c r="Z19"/>
  <c r="S57"/>
  <c r="T56"/>
  <c r="Y26" s="1"/>
  <c r="X21" l="1"/>
  <c r="Z20"/>
  <c r="S58"/>
  <c r="T57"/>
  <c r="Y7" s="1"/>
  <c r="X22" l="1"/>
  <c r="Z21"/>
  <c r="S59"/>
  <c r="T58"/>
  <c r="Y17" s="1"/>
  <c r="X23" l="1"/>
  <c r="Z23" s="1"/>
  <c r="Z22"/>
  <c r="S60"/>
  <c r="T59"/>
  <c r="Y8" s="1"/>
  <c r="S61" l="1"/>
  <c r="T60"/>
  <c r="Y9" s="1"/>
  <c r="S62" l="1"/>
  <c r="T61"/>
  <c r="Y27" s="1"/>
  <c r="S63" l="1"/>
  <c r="T62"/>
  <c r="Y10" s="1"/>
  <c r="S64" l="1"/>
  <c r="T63"/>
  <c r="Y28" s="1"/>
  <c r="S65" l="1"/>
  <c r="T64"/>
  <c r="Y11" s="1"/>
  <c r="S66" l="1"/>
  <c r="T65"/>
  <c r="Y29" s="1"/>
  <c r="S67" l="1"/>
  <c r="T66"/>
  <c r="Y18" s="1"/>
  <c r="S68" l="1"/>
  <c r="T67"/>
  <c r="Y30" s="1"/>
  <c r="S69" l="1"/>
  <c r="T68"/>
  <c r="Y19" s="1"/>
  <c r="S70" l="1"/>
  <c r="T69"/>
  <c r="Y20" s="1"/>
  <c r="S71" l="1"/>
  <c r="T70"/>
  <c r="Y31" s="1"/>
  <c r="S72" l="1"/>
  <c r="T71"/>
  <c r="Y12" s="1"/>
  <c r="S73" l="1"/>
  <c r="T72"/>
  <c r="Y21" s="1"/>
  <c r="S74" l="1"/>
  <c r="T73"/>
  <c r="Y32" s="1"/>
  <c r="S75" l="1"/>
  <c r="T74"/>
  <c r="Y33" s="1"/>
  <c r="S76" l="1"/>
  <c r="T75"/>
  <c r="Y22" s="1"/>
  <c r="S77" l="1"/>
  <c r="T77" s="1"/>
  <c r="Y23" s="1"/>
  <c r="T76"/>
  <c r="Y13" s="1"/>
  <c r="E45" i="1" l="1"/>
  <c r="C45"/>
  <c r="C47" s="1"/>
  <c r="D45"/>
  <c r="BF44" i="7" l="1"/>
  <c r="BE44"/>
  <c r="BD44"/>
  <c r="BC44"/>
  <c r="BB44"/>
  <c r="BA44"/>
  <c r="AZ44"/>
  <c r="AY44"/>
  <c r="AM44"/>
  <c r="AE44"/>
  <c r="W44"/>
  <c r="L44"/>
  <c r="D44"/>
  <c r="AV43"/>
  <c r="AV42"/>
  <c r="AW42" s="1"/>
  <c r="AV41"/>
  <c r="AV40"/>
  <c r="AW40" s="1"/>
  <c r="AV39"/>
  <c r="AV38"/>
  <c r="AW38" s="1"/>
  <c r="AV37"/>
  <c r="AV36"/>
  <c r="AW36" s="1"/>
  <c r="AV35"/>
  <c r="AV34"/>
  <c r="AW34" s="1"/>
  <c r="AV33"/>
  <c r="AV32"/>
  <c r="AW32" s="1"/>
  <c r="AV31"/>
  <c r="AV30"/>
  <c r="AW30" s="1"/>
  <c r="AV29"/>
  <c r="AV28"/>
  <c r="AW28" s="1"/>
  <c r="AV27"/>
  <c r="AV26"/>
  <c r="AW26" s="1"/>
  <c r="AV25"/>
  <c r="AV24"/>
  <c r="AW24" s="1"/>
  <c r="AV23"/>
  <c r="AV22"/>
  <c r="AW22" s="1"/>
  <c r="AV21"/>
  <c r="AV20"/>
  <c r="AW20" s="1"/>
  <c r="AV19"/>
  <c r="AV18"/>
  <c r="AW18" s="1"/>
  <c r="AV17"/>
  <c r="AV16"/>
  <c r="AW16" s="1"/>
  <c r="AV15"/>
  <c r="AV14"/>
  <c r="AW14" s="1"/>
  <c r="AV13"/>
  <c r="AV12"/>
  <c r="AW11"/>
  <c r="AV11"/>
  <c r="AE11"/>
  <c r="AV10"/>
  <c r="AW10" s="1"/>
  <c r="AE10"/>
  <c r="AV9"/>
  <c r="AW8"/>
  <c r="AV8"/>
  <c r="AV7"/>
  <c r="AW6"/>
  <c r="AV6"/>
  <c r="AV5"/>
  <c r="AW4"/>
  <c r="AV4"/>
  <c r="AW9" s="1"/>
  <c r="AW13" l="1"/>
  <c r="AW17"/>
  <c r="AW21"/>
  <c r="AW25"/>
  <c r="AW37"/>
  <c r="AW7"/>
  <c r="AW15"/>
  <c r="AW19"/>
  <c r="AW23"/>
  <c r="AW27"/>
  <c r="AW29"/>
  <c r="AW31"/>
  <c r="AW33"/>
  <c r="AW35"/>
  <c r="AW39"/>
  <c r="AW41"/>
  <c r="AW43"/>
  <c r="AW5"/>
  <c r="BC44" i="4" l="1"/>
  <c r="BB44"/>
  <c r="BA44"/>
  <c r="AZ44"/>
  <c r="AY44"/>
</calcChain>
</file>

<file path=xl/sharedStrings.xml><?xml version="1.0" encoding="utf-8"?>
<sst xmlns="http://schemas.openxmlformats.org/spreadsheetml/2006/main" count="1304" uniqueCount="322">
  <si>
    <t>총수신고(15점, 단위: 백만원, %))</t>
  </si>
  <si>
    <t>요구불 수신고(15점, 단위: 백만원, %)</t>
  </si>
  <si>
    <t>조달금리(20점)</t>
  </si>
  <si>
    <t>스마트뱅킹(15점, 단위: 건, %)</t>
  </si>
  <si>
    <t>체크카드(15점, 단위: 건, %)</t>
  </si>
  <si>
    <t>수수료(10점, 단위: 천원, %)</t>
  </si>
  <si>
    <t>우수고객(10점)</t>
  </si>
  <si>
    <t>총점</t>
  </si>
  <si>
    <t>순위</t>
  </si>
  <si>
    <t>관내국수</t>
  </si>
  <si>
    <t>5231-361</t>
  </si>
  <si>
    <t>5231-362</t>
  </si>
  <si>
    <t>합   계</t>
  </si>
  <si>
    <t>목표</t>
  </si>
  <si>
    <t>실적</t>
  </si>
  <si>
    <t>달성률</t>
  </si>
  <si>
    <t>달성률
순위</t>
  </si>
  <si>
    <t>달성률
점수</t>
  </si>
  <si>
    <t>점유율
순위</t>
  </si>
  <si>
    <t>점유율
점수</t>
  </si>
  <si>
    <t>환산점수</t>
  </si>
  <si>
    <t>평가점수</t>
  </si>
  <si>
    <t>210-01
(일반수용비)</t>
  </si>
  <si>
    <t>210-02
(공공요금)</t>
  </si>
  <si>
    <t>210-09
(시설장비유지비)</t>
  </si>
  <si>
    <t>220-01
(국내여비)</t>
  </si>
  <si>
    <t>240-01
(업무추진비)</t>
  </si>
  <si>
    <t>310-03
(포상금)</t>
  </si>
  <si>
    <t>인천</t>
  </si>
  <si>
    <t>서인천</t>
  </si>
  <si>
    <t>인천계양</t>
  </si>
  <si>
    <t>남인천</t>
  </si>
  <si>
    <t>부평</t>
  </si>
  <si>
    <t>의정부</t>
  </si>
  <si>
    <t>수원</t>
  </si>
  <si>
    <t>동수원</t>
  </si>
  <si>
    <t>서수원</t>
  </si>
  <si>
    <t>군포</t>
  </si>
  <si>
    <t>안양</t>
  </si>
  <si>
    <t>성남</t>
  </si>
  <si>
    <t>성남분당</t>
  </si>
  <si>
    <t>부천</t>
  </si>
  <si>
    <t>안산</t>
  </si>
  <si>
    <t>고양일산</t>
  </si>
  <si>
    <t>고양덕양</t>
  </si>
  <si>
    <t>시흥</t>
  </si>
  <si>
    <t>광명</t>
  </si>
  <si>
    <t>용인수지</t>
  </si>
  <si>
    <t>남양주</t>
  </si>
  <si>
    <t>평택</t>
  </si>
  <si>
    <t>용인</t>
  </si>
  <si>
    <t>화성</t>
  </si>
  <si>
    <t>파주</t>
  </si>
  <si>
    <t>김포</t>
  </si>
  <si>
    <t>포천</t>
  </si>
  <si>
    <t>강화</t>
  </si>
  <si>
    <t>양평</t>
  </si>
  <si>
    <t>가평</t>
  </si>
  <si>
    <t>경기광주</t>
  </si>
  <si>
    <t>이천</t>
  </si>
  <si>
    <t>여주</t>
  </si>
  <si>
    <t>안성</t>
  </si>
  <si>
    <t>동두천</t>
  </si>
  <si>
    <t>연천</t>
  </si>
  <si>
    <t>오산</t>
  </si>
  <si>
    <t>백령</t>
  </si>
  <si>
    <t>하남</t>
  </si>
  <si>
    <t>구리</t>
  </si>
  <si>
    <t>합 계</t>
  </si>
  <si>
    <t>구        분</t>
    <phoneticPr fontId="2" type="noConversion"/>
  </si>
  <si>
    <t>구분</t>
    <phoneticPr fontId="2" type="noConversion"/>
  </si>
  <si>
    <t>총점</t>
    <phoneticPr fontId="2" type="noConversion"/>
  </si>
  <si>
    <t>순위</t>
    <phoneticPr fontId="2" type="noConversion"/>
  </si>
  <si>
    <t>관내국수</t>
    <phoneticPr fontId="2" type="noConversion"/>
  </si>
  <si>
    <t>합계</t>
    <phoneticPr fontId="2" type="noConversion"/>
  </si>
  <si>
    <t>총수신고(15점, 단위: 백만원, %)</t>
    <phoneticPr fontId="2" type="noConversion"/>
  </si>
  <si>
    <t>구        분</t>
    <phoneticPr fontId="2" type="noConversion"/>
  </si>
  <si>
    <t>관서수</t>
    <phoneticPr fontId="2" type="noConversion"/>
  </si>
  <si>
    <t>(단위: 천 원)</t>
    <phoneticPr fontId="2" type="noConversion"/>
  </si>
  <si>
    <t>요구불예금 수신고
('14.11월말)</t>
    <phoneticPr fontId="2" type="noConversion"/>
  </si>
  <si>
    <t>배정액</t>
    <phoneticPr fontId="2" type="noConversion"/>
  </si>
  <si>
    <t>비  고</t>
    <phoneticPr fontId="2" type="noConversion"/>
  </si>
  <si>
    <t>우체국예금 마케팅 활동 예산배정 내역</t>
    <phoneticPr fontId="2" type="noConversion"/>
  </si>
  <si>
    <t>국 명</t>
    <phoneticPr fontId="27" type="noConversion"/>
  </si>
  <si>
    <t>인천남동</t>
    <phoneticPr fontId="27" type="noConversion"/>
  </si>
  <si>
    <t>의정부</t>
    <phoneticPr fontId="27" type="noConversion"/>
  </si>
  <si>
    <t>부평</t>
    <phoneticPr fontId="27" type="noConversion"/>
  </si>
  <si>
    <t>수원</t>
    <phoneticPr fontId="27" type="noConversion"/>
  </si>
  <si>
    <t>동수원</t>
    <phoneticPr fontId="27" type="noConversion"/>
  </si>
  <si>
    <t>서수원</t>
    <phoneticPr fontId="27" type="noConversion"/>
  </si>
  <si>
    <t>용인</t>
    <phoneticPr fontId="27" type="noConversion"/>
  </si>
  <si>
    <t>남양주</t>
    <phoneticPr fontId="27" type="noConversion"/>
  </si>
  <si>
    <t>평택</t>
    <phoneticPr fontId="27" type="noConversion"/>
  </si>
  <si>
    <t>화성</t>
    <phoneticPr fontId="27" type="noConversion"/>
  </si>
  <si>
    <t>이천</t>
    <phoneticPr fontId="27" type="noConversion"/>
  </si>
  <si>
    <t>안성</t>
    <phoneticPr fontId="27" type="noConversion"/>
  </si>
  <si>
    <t>포천</t>
    <phoneticPr fontId="27" type="noConversion"/>
  </si>
  <si>
    <t>경기광주</t>
    <phoneticPr fontId="27" type="noConversion"/>
  </si>
  <si>
    <t>구리</t>
    <phoneticPr fontId="27" type="noConversion"/>
  </si>
  <si>
    <t>강화</t>
    <phoneticPr fontId="27" type="noConversion"/>
  </si>
  <si>
    <t>가평</t>
    <phoneticPr fontId="27" type="noConversion"/>
  </si>
  <si>
    <t>양평</t>
    <phoneticPr fontId="27" type="noConversion"/>
  </si>
  <si>
    <t>여주</t>
    <phoneticPr fontId="27" type="noConversion"/>
  </si>
  <si>
    <t>동두천</t>
    <phoneticPr fontId="27" type="noConversion"/>
  </si>
  <si>
    <t>연천</t>
    <phoneticPr fontId="27" type="noConversion"/>
  </si>
  <si>
    <t>백령</t>
    <phoneticPr fontId="27" type="noConversion"/>
  </si>
  <si>
    <t>오산</t>
    <phoneticPr fontId="27" type="noConversion"/>
  </si>
  <si>
    <t>하남</t>
    <phoneticPr fontId="27" type="noConversion"/>
  </si>
  <si>
    <t>합계</t>
    <phoneticPr fontId="27" type="noConversion"/>
  </si>
  <si>
    <t>2015년도 예금사업 실적 현황(수신고)</t>
    <phoneticPr fontId="2" type="noConversion"/>
  </si>
  <si>
    <t>(단위 : 백만원, %, 점)</t>
    <phoneticPr fontId="2" type="noConversion"/>
  </si>
  <si>
    <t>국명</t>
    <phoneticPr fontId="2" type="noConversion"/>
  </si>
  <si>
    <t>예금총수신고</t>
  </si>
  <si>
    <t>국 명</t>
    <phoneticPr fontId="2" type="noConversion"/>
  </si>
  <si>
    <t>요구불예금수신고</t>
  </si>
  <si>
    <t>당일실적</t>
    <phoneticPr fontId="2" type="noConversion"/>
  </si>
  <si>
    <t>전년도</t>
  </si>
  <si>
    <t>연평잔고</t>
    <phoneticPr fontId="2" type="noConversion"/>
  </si>
  <si>
    <t>전년대비</t>
  </si>
  <si>
    <t>당일실적</t>
  </si>
  <si>
    <t>경평득점</t>
    <phoneticPr fontId="2" type="noConversion"/>
  </si>
  <si>
    <t>예사평득점</t>
  </si>
  <si>
    <t>연평잔고</t>
  </si>
  <si>
    <t>1분기평잔</t>
  </si>
  <si>
    <t>분기대비</t>
  </si>
  <si>
    <t>예사평계산</t>
    <phoneticPr fontId="2" type="noConversion"/>
  </si>
  <si>
    <t>만점여부</t>
    <phoneticPr fontId="2" type="noConversion"/>
  </si>
  <si>
    <t>예사평가점</t>
    <phoneticPr fontId="2" type="noConversion"/>
  </si>
  <si>
    <t>경평득점</t>
  </si>
  <si>
    <t>가그룹</t>
    <phoneticPr fontId="2" type="noConversion"/>
  </si>
  <si>
    <t>성남</t>
    <phoneticPr fontId="2" type="noConversion"/>
  </si>
  <si>
    <t>남인천</t>
    <phoneticPr fontId="2" type="noConversion"/>
  </si>
  <si>
    <t>유지잔액</t>
  </si>
  <si>
    <t>일연평잔고</t>
  </si>
  <si>
    <t>부천</t>
    <phoneticPr fontId="2" type="noConversion"/>
  </si>
  <si>
    <t>일반예금</t>
  </si>
  <si>
    <t>요구불예금</t>
  </si>
  <si>
    <t>타부처국고예금</t>
  </si>
  <si>
    <t>실적우편대체</t>
  </si>
  <si>
    <t>Total</t>
  </si>
  <si>
    <t>요구불연평</t>
    <phoneticPr fontId="2" type="noConversion"/>
  </si>
  <si>
    <t>요구불유지잔액</t>
    <phoneticPr fontId="2" type="noConversion"/>
  </si>
  <si>
    <t>평택</t>
    <phoneticPr fontId="2" type="noConversion"/>
  </si>
  <si>
    <t>안산</t>
    <phoneticPr fontId="2" type="noConversion"/>
  </si>
  <si>
    <t>부평</t>
    <phoneticPr fontId="2" type="noConversion"/>
  </si>
  <si>
    <t>인천</t>
    <phoneticPr fontId="2" type="noConversion"/>
  </si>
  <si>
    <t>안양</t>
    <phoneticPr fontId="2" type="noConversion"/>
  </si>
  <si>
    <t>나그룹</t>
    <phoneticPr fontId="2" type="noConversion"/>
  </si>
  <si>
    <t>성남분당</t>
    <phoneticPr fontId="2" type="noConversion"/>
  </si>
  <si>
    <t>화성</t>
    <phoneticPr fontId="2" type="noConversion"/>
  </si>
  <si>
    <t>동수원</t>
    <phoneticPr fontId="2" type="noConversion"/>
  </si>
  <si>
    <t>수원</t>
    <phoneticPr fontId="2" type="noConversion"/>
  </si>
  <si>
    <t>고양덕양</t>
    <phoneticPr fontId="2" type="noConversion"/>
  </si>
  <si>
    <t>의정부</t>
    <phoneticPr fontId="2" type="noConversion"/>
  </si>
  <si>
    <t>시흥</t>
    <phoneticPr fontId="2" type="noConversion"/>
  </si>
  <si>
    <t>용인</t>
    <phoneticPr fontId="2" type="noConversion"/>
  </si>
  <si>
    <t>서인천</t>
    <phoneticPr fontId="2" type="noConversion"/>
  </si>
  <si>
    <t>다그룹</t>
    <phoneticPr fontId="2" type="noConversion"/>
  </si>
  <si>
    <t>김포</t>
    <phoneticPr fontId="2" type="noConversion"/>
  </si>
  <si>
    <t>용인수지</t>
    <phoneticPr fontId="2" type="noConversion"/>
  </si>
  <si>
    <t>서수원</t>
    <phoneticPr fontId="2" type="noConversion"/>
  </si>
  <si>
    <t>남양주</t>
    <phoneticPr fontId="2" type="noConversion"/>
  </si>
  <si>
    <t>인천계양</t>
    <phoneticPr fontId="2" type="noConversion"/>
  </si>
  <si>
    <t>군포</t>
    <phoneticPr fontId="2" type="noConversion"/>
  </si>
  <si>
    <t>이천</t>
    <phoneticPr fontId="2" type="noConversion"/>
  </si>
  <si>
    <t>안성</t>
    <phoneticPr fontId="2" type="noConversion"/>
  </si>
  <si>
    <t>파주</t>
    <phoneticPr fontId="2" type="noConversion"/>
  </si>
  <si>
    <t>광명</t>
    <phoneticPr fontId="2" type="noConversion"/>
  </si>
  <si>
    <t>수신고</t>
    <phoneticPr fontId="2" type="noConversion"/>
  </si>
  <si>
    <t>라그룹</t>
    <phoneticPr fontId="2" type="noConversion"/>
  </si>
  <si>
    <t>동두천</t>
    <phoneticPr fontId="2" type="noConversion"/>
  </si>
  <si>
    <t>경기광주</t>
    <phoneticPr fontId="2" type="noConversion"/>
  </si>
  <si>
    <t>오산</t>
    <phoneticPr fontId="2" type="noConversion"/>
  </si>
  <si>
    <t>구리</t>
    <phoneticPr fontId="2" type="noConversion"/>
  </si>
  <si>
    <t>인천남동</t>
  </si>
  <si>
    <t>마그룹</t>
    <phoneticPr fontId="2" type="noConversion"/>
  </si>
  <si>
    <t>백령</t>
    <phoneticPr fontId="2" type="noConversion"/>
  </si>
  <si>
    <t>여주</t>
    <phoneticPr fontId="2" type="noConversion"/>
  </si>
  <si>
    <t>연천</t>
    <phoneticPr fontId="2" type="noConversion"/>
  </si>
  <si>
    <t>하남</t>
    <phoneticPr fontId="2" type="noConversion"/>
  </si>
  <si>
    <t>가평</t>
    <phoneticPr fontId="2" type="noConversion"/>
  </si>
  <si>
    <t>강화</t>
    <phoneticPr fontId="2" type="noConversion"/>
  </si>
  <si>
    <t>total</t>
    <phoneticPr fontId="2" type="noConversion"/>
  </si>
  <si>
    <t>경평계산득점</t>
    <phoneticPr fontId="2" type="noConversion"/>
  </si>
  <si>
    <t>가점</t>
    <phoneticPr fontId="2" type="noConversion"/>
  </si>
  <si>
    <t>전일실적</t>
    <phoneticPr fontId="2" type="noConversion"/>
  </si>
  <si>
    <t>연평</t>
    <phoneticPr fontId="2" type="noConversion"/>
  </si>
  <si>
    <t>유지잔액</t>
    <phoneticPr fontId="2" type="noConversion"/>
  </si>
  <si>
    <t>2015년도 예금사업 실적 현황(체크카드)</t>
    <phoneticPr fontId="2" type="noConversion"/>
  </si>
  <si>
    <t>(단위 : 천원,%,점)</t>
    <phoneticPr fontId="2" type="noConversion"/>
  </si>
  <si>
    <t>당일</t>
    <phoneticPr fontId="2" type="noConversion"/>
  </si>
  <si>
    <t>국명</t>
  </si>
  <si>
    <t>가맹점 수수료 세입</t>
  </si>
  <si>
    <t>신규카드세입</t>
  </si>
  <si>
    <t>경영평가(4)</t>
  </si>
  <si>
    <t>예사평(30)</t>
    <phoneticPr fontId="2" type="noConversion"/>
  </si>
  <si>
    <t>전체</t>
    <phoneticPr fontId="2" type="noConversion"/>
  </si>
  <si>
    <t>신규세입</t>
    <phoneticPr fontId="2" type="noConversion"/>
  </si>
  <si>
    <t>신규카드세입비중</t>
  </si>
  <si>
    <t>경평감점</t>
    <phoneticPr fontId="2" type="noConversion"/>
  </si>
  <si>
    <t>예사평
감점</t>
    <phoneticPr fontId="2" type="noConversion"/>
  </si>
  <si>
    <t>메트릭</t>
  </si>
  <si>
    <t>가맹점수수료</t>
  </si>
  <si>
    <t>가맹점수수료(신규카드,일)</t>
  </si>
  <si>
    <t>전일</t>
    <phoneticPr fontId="2" type="noConversion"/>
  </si>
  <si>
    <t>2015년도 예금사업 실적 현황(스마트금융)</t>
    <phoneticPr fontId="2" type="noConversion"/>
  </si>
  <si>
    <t>(단위: 명, %, 점)</t>
    <phoneticPr fontId="2" type="noConversion"/>
  </si>
  <si>
    <t>국명</t>
    <phoneticPr fontId="2" type="noConversion"/>
  </si>
  <si>
    <t>가입자수</t>
  </si>
  <si>
    <t>우량가입자</t>
    <phoneticPr fontId="2" type="noConversion"/>
  </si>
  <si>
    <t>감점</t>
    <phoneticPr fontId="2" type="noConversion"/>
  </si>
  <si>
    <t>예사평(30)</t>
    <phoneticPr fontId="2" type="noConversion"/>
  </si>
  <si>
    <t>당일실적</t>
    <phoneticPr fontId="2" type="noConversion"/>
  </si>
  <si>
    <t>우량이용자</t>
    <phoneticPr fontId="2" type="noConversion"/>
  </si>
  <si>
    <t>비율(%)</t>
  </si>
  <si>
    <t>경영평가</t>
    <phoneticPr fontId="2" type="noConversion"/>
  </si>
  <si>
    <t>예사평</t>
    <phoneticPr fontId="2" type="noConversion"/>
  </si>
  <si>
    <t>당일</t>
    <phoneticPr fontId="2" type="noConversion"/>
  </si>
  <si>
    <t>총가입자수</t>
  </si>
  <si>
    <t>총약정자수(MAC중복건수제외)</t>
  </si>
  <si>
    <t>최근3개월내 실제이용자수</t>
  </si>
  <si>
    <t>우량가입자수</t>
  </si>
  <si>
    <t>우량이용자수</t>
  </si>
  <si>
    <t>총약정자</t>
    <phoneticPr fontId="2" type="noConversion"/>
  </si>
  <si>
    <t>기타</t>
    <phoneticPr fontId="2" type="noConversion"/>
  </si>
  <si>
    <t>total</t>
    <phoneticPr fontId="2" type="noConversion"/>
  </si>
  <si>
    <t>안양우편물류센터</t>
  </si>
  <si>
    <t>미확인(경인청)</t>
  </si>
  <si>
    <t>전일</t>
    <phoneticPr fontId="2" type="noConversion"/>
  </si>
  <si>
    <t>`</t>
    <phoneticPr fontId="2" type="noConversion"/>
  </si>
  <si>
    <t>목표</t>
    <phoneticPr fontId="2" type="noConversion"/>
  </si>
  <si>
    <t>실적</t>
    <phoneticPr fontId="2" type="noConversion"/>
  </si>
  <si>
    <t>달성율</t>
    <phoneticPr fontId="2" type="noConversion"/>
  </si>
  <si>
    <t>예금총수신고(10)</t>
    <phoneticPr fontId="27" type="noConversion"/>
  </si>
  <si>
    <t>점수</t>
    <phoneticPr fontId="2" type="noConversion"/>
  </si>
  <si>
    <t>요구불예금수신고(40)</t>
    <phoneticPr fontId="2" type="noConversion"/>
  </si>
  <si>
    <t>체크카드(30)</t>
    <phoneticPr fontId="2" type="noConversion"/>
  </si>
  <si>
    <t>스마트금융(20)</t>
    <phoneticPr fontId="2" type="noConversion"/>
  </si>
  <si>
    <t>합계
점수</t>
    <phoneticPr fontId="2" type="noConversion"/>
  </si>
  <si>
    <t>5231-362-210-01
(수용비)</t>
    <phoneticPr fontId="2" type="noConversion"/>
  </si>
  <si>
    <t>5231-362-310-03
(포상금</t>
    <phoneticPr fontId="2" type="noConversion"/>
  </si>
  <si>
    <t>200차이</t>
    <phoneticPr fontId="59" type="noConversion"/>
  </si>
  <si>
    <t xml:space="preserve">  *5</t>
    <phoneticPr fontId="59" type="noConversion"/>
  </si>
  <si>
    <t>100차이</t>
    <phoneticPr fontId="59" type="noConversion"/>
  </si>
  <si>
    <t>인천남동</t>
    <phoneticPr fontId="2" type="noConversion"/>
  </si>
  <si>
    <t>요구불예금
수신고(40)</t>
    <phoneticPr fontId="2" type="noConversion"/>
  </si>
  <si>
    <t>예금
총수신(10)</t>
    <phoneticPr fontId="27" type="noConversion"/>
  </si>
  <si>
    <t>실적
점유비
(20)</t>
    <phoneticPr fontId="2" type="noConversion"/>
  </si>
  <si>
    <t>점수
(20)</t>
    <phoneticPr fontId="2" type="noConversion"/>
  </si>
  <si>
    <t>실적
점유비
(15)</t>
    <phoneticPr fontId="2" type="noConversion"/>
  </si>
  <si>
    <t>점수
(15)</t>
    <phoneticPr fontId="2" type="noConversion"/>
  </si>
  <si>
    <t>합계
(40)</t>
    <phoneticPr fontId="2" type="noConversion"/>
  </si>
  <si>
    <t>합계
(30)</t>
    <phoneticPr fontId="2" type="noConversion"/>
  </si>
  <si>
    <t>실적
점유비
(10)</t>
    <phoneticPr fontId="2" type="noConversion"/>
  </si>
  <si>
    <t>점수
(10)</t>
    <phoneticPr fontId="2" type="noConversion"/>
  </si>
  <si>
    <t>합계
(20)</t>
    <phoneticPr fontId="2" type="noConversion"/>
  </si>
  <si>
    <t>달성율
(20)</t>
    <phoneticPr fontId="2" type="noConversion"/>
  </si>
  <si>
    <t>달성율(15)</t>
    <phoneticPr fontId="2" type="noConversion"/>
  </si>
  <si>
    <t>달성율
(10)</t>
    <phoneticPr fontId="2" type="noConversion"/>
  </si>
  <si>
    <t>비  고</t>
    <phoneticPr fontId="2" type="noConversion"/>
  </si>
  <si>
    <t>210-01
(일반수용비)</t>
    <phoneticPr fontId="59" type="noConversion"/>
  </si>
  <si>
    <t>310-03
(포상금)</t>
    <phoneticPr fontId="59" type="noConversion"/>
  </si>
  <si>
    <t>소   계</t>
    <phoneticPr fontId="2" type="noConversion"/>
  </si>
  <si>
    <t>인천남동</t>
    <phoneticPr fontId="27" type="noConversion"/>
  </si>
  <si>
    <t>의정부</t>
    <phoneticPr fontId="27" type="noConversion"/>
  </si>
  <si>
    <t>부평</t>
    <phoneticPr fontId="27" type="noConversion"/>
  </si>
  <si>
    <t>수원</t>
    <phoneticPr fontId="27" type="noConversion"/>
  </si>
  <si>
    <t>동수원</t>
    <phoneticPr fontId="27" type="noConversion"/>
  </si>
  <si>
    <t>서수원</t>
    <phoneticPr fontId="27" type="noConversion"/>
  </si>
  <si>
    <t>용인</t>
    <phoneticPr fontId="27" type="noConversion"/>
  </si>
  <si>
    <t>남양주</t>
    <phoneticPr fontId="27" type="noConversion"/>
  </si>
  <si>
    <t>평택</t>
    <phoneticPr fontId="27" type="noConversion"/>
  </si>
  <si>
    <t>화성</t>
    <phoneticPr fontId="27" type="noConversion"/>
  </si>
  <si>
    <t>이천</t>
    <phoneticPr fontId="27" type="noConversion"/>
  </si>
  <si>
    <t>안성</t>
    <phoneticPr fontId="27" type="noConversion"/>
  </si>
  <si>
    <t>포천</t>
    <phoneticPr fontId="27" type="noConversion"/>
  </si>
  <si>
    <t>경기광주</t>
    <phoneticPr fontId="27" type="noConversion"/>
  </si>
  <si>
    <t>구리</t>
    <phoneticPr fontId="27" type="noConversion"/>
  </si>
  <si>
    <t>강화</t>
    <phoneticPr fontId="27" type="noConversion"/>
  </si>
  <si>
    <t>가평</t>
    <phoneticPr fontId="27" type="noConversion"/>
  </si>
  <si>
    <t>양평</t>
    <phoneticPr fontId="27" type="noConversion"/>
  </si>
  <si>
    <t>여주</t>
    <phoneticPr fontId="27" type="noConversion"/>
  </si>
  <si>
    <t>동두천</t>
    <phoneticPr fontId="27" type="noConversion"/>
  </si>
  <si>
    <t>연천</t>
    <phoneticPr fontId="27" type="noConversion"/>
  </si>
  <si>
    <t>백령</t>
    <phoneticPr fontId="27" type="noConversion"/>
  </si>
  <si>
    <t>오산</t>
    <phoneticPr fontId="27" type="noConversion"/>
  </si>
  <si>
    <t>하남</t>
    <phoneticPr fontId="27" type="noConversion"/>
  </si>
  <si>
    <t>합 계</t>
    <phoneticPr fontId="2" type="noConversion"/>
  </si>
  <si>
    <t>5231-362(예금영업지원)</t>
    <phoneticPr fontId="59" type="noConversion"/>
  </si>
  <si>
    <t>총괄국별 예산 배정 내역</t>
    <phoneticPr fontId="59" type="noConversion"/>
  </si>
  <si>
    <t>구   분</t>
    <phoneticPr fontId="2" type="noConversion"/>
  </si>
  <si>
    <t>소계</t>
    <phoneticPr fontId="2" type="noConversion"/>
  </si>
  <si>
    <t>계</t>
    <phoneticPr fontId="2" type="noConversion"/>
  </si>
  <si>
    <t>순위</t>
    <phoneticPr fontId="2" type="noConversion"/>
  </si>
  <si>
    <t>수용비</t>
    <phoneticPr fontId="2" type="noConversion"/>
  </si>
  <si>
    <t>포상금</t>
    <phoneticPr fontId="2" type="noConversion"/>
  </si>
  <si>
    <t>요구불예금수신고(40)</t>
    <phoneticPr fontId="2" type="noConversion"/>
  </si>
  <si>
    <t>예금총수신고(10)</t>
    <phoneticPr fontId="27" type="noConversion"/>
  </si>
  <si>
    <r>
      <t xml:space="preserve">점수
</t>
    </r>
    <r>
      <rPr>
        <b/>
        <sz val="11"/>
        <color theme="0"/>
        <rFont val="돋움"/>
        <family val="3"/>
        <charset val="129"/>
      </rPr>
      <t>A</t>
    </r>
    <phoneticPr fontId="2" type="noConversion"/>
  </si>
  <si>
    <r>
      <t xml:space="preserve">소계
(40)
</t>
    </r>
    <r>
      <rPr>
        <b/>
        <sz val="11"/>
        <color theme="0"/>
        <rFont val="돋움"/>
        <family val="3"/>
        <charset val="129"/>
      </rPr>
      <t>B</t>
    </r>
    <phoneticPr fontId="2" type="noConversion"/>
  </si>
  <si>
    <r>
      <t xml:space="preserve">소계
(30)
</t>
    </r>
    <r>
      <rPr>
        <b/>
        <sz val="11"/>
        <color theme="0"/>
        <rFont val="돋움"/>
        <family val="3"/>
        <charset val="129"/>
      </rPr>
      <t>C</t>
    </r>
    <phoneticPr fontId="2" type="noConversion"/>
  </si>
  <si>
    <r>
      <t xml:space="preserve">소계
(20)
</t>
    </r>
    <r>
      <rPr>
        <b/>
        <sz val="11"/>
        <color theme="0"/>
        <rFont val="돋움"/>
        <family val="3"/>
        <charset val="129"/>
      </rPr>
      <t>D</t>
    </r>
    <phoneticPr fontId="2" type="noConversion"/>
  </si>
  <si>
    <t>합계
(A+B+C+D)</t>
    <phoneticPr fontId="2" type="noConversion"/>
  </si>
  <si>
    <r>
      <t xml:space="preserve">합계
</t>
    </r>
    <r>
      <rPr>
        <b/>
        <sz val="11"/>
        <color theme="0"/>
        <rFont val="돋움"/>
        <family val="3"/>
        <charset val="129"/>
      </rPr>
      <t>(A+B+C+D)</t>
    </r>
    <phoneticPr fontId="2" type="noConversion"/>
  </si>
  <si>
    <t>(단위 : 천 원)</t>
    <phoneticPr fontId="2" type="noConversion"/>
  </si>
  <si>
    <t>우체국예금 하반기 마케팅 활성화 예산 배정내역</t>
    <phoneticPr fontId="2" type="noConversion"/>
  </si>
  <si>
    <t>총괄국별 예산 배정 내역</t>
    <phoneticPr fontId="59" type="noConversion"/>
  </si>
  <si>
    <t>5231-362-210-01
수용비
(천원)</t>
    <phoneticPr fontId="2" type="noConversion"/>
  </si>
  <si>
    <t>5231-362-310-03
포상금
(천원)</t>
    <phoneticPr fontId="2" type="noConversion"/>
  </si>
  <si>
    <t>5231-362-210-01
수용비
(천원)</t>
    <phoneticPr fontId="2" type="noConversion"/>
  </si>
  <si>
    <t>5231-362-310-03
포상금
(천원)</t>
    <phoneticPr fontId="2" type="noConversion"/>
  </si>
  <si>
    <t>달성율(%)
(20)</t>
    <phoneticPr fontId="2" type="noConversion"/>
  </si>
  <si>
    <t>달성율(%)
(15)</t>
    <phoneticPr fontId="2" type="noConversion"/>
  </si>
  <si>
    <t>달성율(%)
(10)</t>
    <phoneticPr fontId="2" type="noConversion"/>
  </si>
  <si>
    <t>(단위 : 백만원, %, 점)</t>
    <phoneticPr fontId="2" type="noConversion"/>
  </si>
  <si>
    <t>(단위 : 백만원, 명, 점, %)</t>
    <phoneticPr fontId="2" type="noConversion"/>
  </si>
  <si>
    <t>목표
(천원)</t>
    <phoneticPr fontId="2" type="noConversion"/>
  </si>
  <si>
    <t>실적
(천원)</t>
    <phoneticPr fontId="2" type="noConversion"/>
  </si>
  <si>
    <r>
      <t xml:space="preserve">가중치
(40)
</t>
    </r>
    <r>
      <rPr>
        <b/>
        <sz val="11"/>
        <color rgb="FF0000FF"/>
        <rFont val="돋움"/>
        <family val="3"/>
        <charset val="129"/>
      </rPr>
      <t>B</t>
    </r>
    <phoneticPr fontId="2" type="noConversion"/>
  </si>
  <si>
    <r>
      <t xml:space="preserve">가중치소계
(30)
</t>
    </r>
    <r>
      <rPr>
        <b/>
        <sz val="11"/>
        <color rgb="FF0000FF"/>
        <rFont val="돋움"/>
        <family val="3"/>
        <charset val="129"/>
      </rPr>
      <t>C</t>
    </r>
    <phoneticPr fontId="2" type="noConversion"/>
  </si>
  <si>
    <r>
      <t xml:space="preserve">가중치소계(20)
</t>
    </r>
    <r>
      <rPr>
        <b/>
        <sz val="11"/>
        <color rgb="FF0000FF"/>
        <rFont val="돋움"/>
        <family val="3"/>
        <charset val="129"/>
      </rPr>
      <t>D</t>
    </r>
    <phoneticPr fontId="2" type="noConversion"/>
  </si>
  <si>
    <r>
      <t xml:space="preserve">가중치
(10)
</t>
    </r>
    <r>
      <rPr>
        <b/>
        <sz val="11"/>
        <color rgb="FF0000FF"/>
        <rFont val="돋움"/>
        <family val="3"/>
        <charset val="129"/>
      </rPr>
      <t>A</t>
    </r>
    <phoneticPr fontId="2" type="noConversion"/>
  </si>
</sst>
</file>

<file path=xl/styles.xml><?xml version="1.0" encoding="utf-8"?>
<styleSheet xmlns="http://schemas.openxmlformats.org/spreadsheetml/2006/main">
  <numFmts count="18">
    <numFmt numFmtId="41" formatCode="_-* #,##0_-;\-* #,##0_-;_-* &quot;-&quot;_-;_-@_-"/>
    <numFmt numFmtId="43" formatCode="_-* #,##0.00_-;\-* #,##0.00_-;_-* &quot;-&quot;??_-;_-@_-"/>
    <numFmt numFmtId="176" formatCode="_-* #,##0.0_-;\-* #,##0.0_-;_-* &quot;-&quot;_-;_-@_-"/>
    <numFmt numFmtId="177" formatCode="_-* #,##0.00_-;\-* #,##0.00_-;_-* &quot;-&quot;_-;_-@_-"/>
    <numFmt numFmtId="178" formatCode="_-* #,##0.000_-;\-* #,##0.000_-;_-* &quot;-&quot;_-;_-@_-"/>
    <numFmt numFmtId="179" formatCode="_-* #,##0_-;\-* #,##0_-;_-* &quot;-&quot;??_-;_-@_-"/>
    <numFmt numFmtId="180" formatCode="0_ "/>
    <numFmt numFmtId="181" formatCode="0.0_ "/>
    <numFmt numFmtId="182" formatCode="0.000_ "/>
    <numFmt numFmtId="183" formatCode="_-* #,##0.0000_-;\-* #,##0.0000_-;_-* &quot;-&quot;_-;_-@_-"/>
    <numFmt numFmtId="184" formatCode="0.0000_);[Red]\(0.0000\)"/>
    <numFmt numFmtId="185" formatCode="0.0000_ "/>
    <numFmt numFmtId="186" formatCode="0.00_ "/>
    <numFmt numFmtId="187" formatCode="_-* #,##0.0_-;\-* #,##0.0_-;_-* &quot;-&quot;??_-;_-@_-"/>
    <numFmt numFmtId="188" formatCode="0.000_);[Red]\(0.000\)"/>
    <numFmt numFmtId="189" formatCode="0.00%;\(0.00%\)"/>
    <numFmt numFmtId="190" formatCode="0_);[Red]\(0\)"/>
    <numFmt numFmtId="191" formatCode="#,##0_ "/>
  </numFmts>
  <fonts count="6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바탕"/>
      <family val="1"/>
      <charset val="129"/>
    </font>
    <font>
      <sz val="10"/>
      <color rgb="FF000000"/>
      <name val="Arial"/>
      <family val="2"/>
    </font>
    <font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0" tint="-4.9989318521683403E-2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theme="0"/>
      <name val="돋움"/>
      <family val="3"/>
      <charset val="129"/>
    </font>
    <font>
      <sz val="25"/>
      <name val="HY헤드라인M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1"/>
      <name val="돋움"/>
      <family val="3"/>
      <charset val="129"/>
    </font>
    <font>
      <b/>
      <sz val="9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9"/>
      <color rgb="FFFFFFFF"/>
      <name val="돋움"/>
      <family val="3"/>
      <charset val="129"/>
    </font>
    <font>
      <sz val="9"/>
      <color rgb="FF0000FF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9"/>
      <color indexed="8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color rgb="FF0000FF"/>
      <name val="돋움"/>
      <family val="3"/>
      <charset val="129"/>
    </font>
    <font>
      <sz val="24"/>
      <name val="HY헤드라인M"/>
      <family val="1"/>
      <charset val="129"/>
    </font>
    <font>
      <b/>
      <sz val="11"/>
      <name val="굴림체"/>
      <family val="3"/>
      <charset val="129"/>
    </font>
    <font>
      <b/>
      <sz val="10"/>
      <name val="굴림체"/>
      <family val="3"/>
      <charset val="129"/>
    </font>
    <font>
      <b/>
      <sz val="9"/>
      <name val="굴림체"/>
      <family val="3"/>
      <charset val="129"/>
    </font>
    <font>
      <sz val="9"/>
      <color rgb="FFC6C3C6"/>
      <name val="돋움"/>
      <family val="3"/>
      <charset val="129"/>
    </font>
    <font>
      <b/>
      <sz val="9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0"/>
      <color indexed="8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8"/>
      <name val="맑은 고딕"/>
      <family val="3"/>
      <charset val="129"/>
    </font>
    <font>
      <b/>
      <sz val="11"/>
      <color rgb="FF0070C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rgb="FF0000FF"/>
      <name val="돋움"/>
      <family val="3"/>
      <charset val="129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63659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99"/>
        <bgColor indexed="64"/>
      </patternFill>
    </fill>
  </fills>
  <borders count="1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C6C3C6"/>
      </right>
      <top style="thin">
        <color rgb="FFC6C3C6"/>
      </top>
      <bottom/>
      <diagonal/>
    </border>
    <border>
      <left style="thin">
        <color rgb="FFC6C3C6"/>
      </left>
      <right/>
      <top style="thin">
        <color rgb="FFC6C3C6"/>
      </top>
      <bottom/>
      <diagonal/>
    </border>
    <border>
      <left/>
      <right/>
      <top style="thin">
        <color rgb="FFC6C3C6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C6C3C6"/>
      </right>
      <top/>
      <bottom style="thin">
        <color rgb="FFC6C3C6"/>
      </bottom>
      <diagonal/>
    </border>
    <border>
      <left style="thin">
        <color rgb="FFC6C3C6"/>
      </left>
      <right/>
      <top/>
      <bottom/>
      <diagonal/>
    </border>
    <border>
      <left style="thin">
        <color rgb="FFC6C3C6"/>
      </left>
      <right style="thin">
        <color rgb="FFC6C3C6"/>
      </right>
      <top/>
      <bottom/>
      <diagonal/>
    </border>
    <border>
      <left style="thin">
        <color rgb="FFC6C3C6"/>
      </left>
      <right/>
      <top/>
      <bottom style="thin">
        <color rgb="FFC6C3C6"/>
      </bottom>
      <diagonal/>
    </border>
    <border>
      <left style="thin">
        <color rgb="FFC6C3C6"/>
      </left>
      <right style="thin">
        <color rgb="FFC6C3C6"/>
      </right>
      <top/>
      <bottom style="thin">
        <color rgb="FFC6C3C6"/>
      </bottom>
      <diagonal/>
    </border>
    <border>
      <left style="thin">
        <color rgb="FFC6C3C6"/>
      </left>
      <right/>
      <top style="thin">
        <color rgb="FFC6C3C6"/>
      </top>
      <bottom style="thin">
        <color rgb="FFC6C3C6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rgb="FFC6C3C6"/>
      </top>
      <bottom style="thin">
        <color rgb="FFC6C3C6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C6C3C6"/>
      </right>
      <top style="thin">
        <color rgb="FFC6C3C6"/>
      </top>
      <bottom style="thin">
        <color rgb="FFC6C3C6"/>
      </bottom>
      <diagonal/>
    </border>
    <border>
      <left style="thin">
        <color rgb="FFC6C3C6"/>
      </left>
      <right style="thin">
        <color rgb="FFC6C3C6"/>
      </right>
      <top style="thin">
        <color rgb="FFC6C3C6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18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9" applyNumberFormat="0" applyFill="0" applyAlignment="0" applyProtection="0">
      <alignment vertical="center"/>
    </xf>
    <xf numFmtId="0" fontId="4" fillId="0" borderId="9" applyNumberFormat="0" applyFill="0" applyAlignment="0" applyProtection="0">
      <alignment vertical="center"/>
    </xf>
    <xf numFmtId="0" fontId="4" fillId="0" borderId="9" applyNumberFormat="0" applyFill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35" fillId="0" borderId="0">
      <alignment vertical="center"/>
    </xf>
  </cellStyleXfs>
  <cellXfs count="661">
    <xf numFmtId="0" fontId="0" fillId="0" borderId="0" xfId="0">
      <alignment vertical="center"/>
    </xf>
    <xf numFmtId="0" fontId="0" fillId="0" borderId="0" xfId="0">
      <alignment vertical="center"/>
    </xf>
    <xf numFmtId="41" fontId="4" fillId="33" borderId="20" xfId="1" applyFont="1" applyFill="1" applyBorder="1" applyAlignment="1">
      <alignment horizontal="center" vertical="center"/>
    </xf>
    <xf numFmtId="41" fontId="4" fillId="33" borderId="21" xfId="1" applyNumberFormat="1" applyFont="1" applyFill="1" applyBorder="1" applyAlignment="1">
      <alignment horizontal="center" vertical="center"/>
    </xf>
    <xf numFmtId="41" fontId="4" fillId="33" borderId="21" xfId="1" applyNumberFormat="1" applyFont="1" applyFill="1" applyBorder="1" applyAlignment="1">
      <alignment horizontal="center" vertical="center" wrapText="1"/>
    </xf>
    <xf numFmtId="41" fontId="4" fillId="33" borderId="22" xfId="1" applyNumberFormat="1" applyFont="1" applyFill="1" applyBorder="1" applyAlignment="1">
      <alignment horizontal="center" vertical="center" wrapText="1"/>
    </xf>
    <xf numFmtId="41" fontId="4" fillId="33" borderId="23" xfId="1" applyNumberFormat="1" applyFont="1" applyFill="1" applyBorder="1" applyAlignment="1">
      <alignment horizontal="center" vertical="center"/>
    </xf>
    <xf numFmtId="41" fontId="4" fillId="33" borderId="24" xfId="1" applyNumberFormat="1" applyFont="1" applyFill="1" applyBorder="1" applyAlignment="1">
      <alignment horizontal="center" vertical="center"/>
    </xf>
    <xf numFmtId="41" fontId="4" fillId="33" borderId="20" xfId="1" applyNumberFormat="1" applyFont="1" applyFill="1" applyBorder="1" applyAlignment="1">
      <alignment horizontal="center" vertical="center"/>
    </xf>
    <xf numFmtId="41" fontId="4" fillId="33" borderId="22" xfId="1" applyNumberFormat="1" applyFont="1" applyFill="1" applyBorder="1" applyAlignment="1">
      <alignment horizontal="center" vertical="center"/>
    </xf>
    <xf numFmtId="41" fontId="4" fillId="33" borderId="24" xfId="1" applyNumberFormat="1" applyFont="1" applyFill="1" applyBorder="1" applyAlignment="1">
      <alignment horizontal="center" vertical="center" wrapText="1"/>
    </xf>
    <xf numFmtId="41" fontId="4" fillId="33" borderId="23" xfId="1" applyNumberFormat="1" applyFont="1" applyFill="1" applyBorder="1" applyAlignment="1">
      <alignment horizontal="center" vertical="center" wrapText="1"/>
    </xf>
    <xf numFmtId="0" fontId="4" fillId="33" borderId="20" xfId="0" applyFont="1" applyFill="1" applyBorder="1" applyAlignment="1">
      <alignment horizontal="center" vertical="center" wrapText="1"/>
    </xf>
    <xf numFmtId="0" fontId="4" fillId="33" borderId="21" xfId="0" applyFont="1" applyFill="1" applyBorder="1" applyAlignment="1">
      <alignment horizontal="center" vertical="center" wrapText="1"/>
    </xf>
    <xf numFmtId="41" fontId="4" fillId="33" borderId="21" xfId="1" applyFont="1" applyFill="1" applyBorder="1" applyAlignment="1">
      <alignment horizontal="center" vertical="center" wrapText="1"/>
    </xf>
    <xf numFmtId="0" fontId="4" fillId="33" borderId="22" xfId="0" applyFont="1" applyFill="1" applyBorder="1" applyAlignment="1">
      <alignment horizontal="center" vertical="center" wrapText="1"/>
    </xf>
    <xf numFmtId="41" fontId="4" fillId="33" borderId="23" xfId="1" applyFont="1" applyFill="1" applyBorder="1" applyAlignment="1">
      <alignment horizontal="center" vertical="center" wrapText="1"/>
    </xf>
    <xf numFmtId="41" fontId="4" fillId="33" borderId="24" xfId="1" applyFont="1" applyFill="1" applyBorder="1" applyAlignment="1">
      <alignment horizontal="center" vertical="center" wrapText="1"/>
    </xf>
    <xf numFmtId="0" fontId="3" fillId="0" borderId="28" xfId="2" applyBorder="1" applyAlignment="1">
      <alignment horizontal="distributed" vertical="center"/>
    </xf>
    <xf numFmtId="41" fontId="3" fillId="0" borderId="29" xfId="1" applyFont="1" applyBorder="1" applyAlignment="1">
      <alignment horizontal="distributed" vertical="center"/>
    </xf>
    <xf numFmtId="41" fontId="3" fillId="0" borderId="30" xfId="1" applyNumberFormat="1" applyFont="1" applyBorder="1" applyAlignment="1">
      <alignment horizontal="center" vertical="center"/>
    </xf>
    <xf numFmtId="176" fontId="3" fillId="0" borderId="30" xfId="1" applyNumberFormat="1" applyFont="1" applyBorder="1" applyAlignment="1">
      <alignment horizontal="center" vertical="center"/>
    </xf>
    <xf numFmtId="177" fontId="3" fillId="0" borderId="30" xfId="1" applyNumberFormat="1" applyFont="1" applyBorder="1" applyAlignment="1">
      <alignment horizontal="center" vertical="center"/>
    </xf>
    <xf numFmtId="178" fontId="3" fillId="0" borderId="31" xfId="1" applyNumberFormat="1" applyFont="1" applyBorder="1" applyAlignment="1">
      <alignment horizontal="center" vertical="center"/>
    </xf>
    <xf numFmtId="41" fontId="3" fillId="0" borderId="32" xfId="1" applyNumberFormat="1" applyFont="1" applyBorder="1" applyAlignment="1">
      <alignment horizontal="center" vertical="center"/>
    </xf>
    <xf numFmtId="178" fontId="3" fillId="0" borderId="33" xfId="1" applyNumberFormat="1" applyFont="1" applyBorder="1" applyAlignment="1">
      <alignment horizontal="center" vertical="center"/>
    </xf>
    <xf numFmtId="178" fontId="3" fillId="0" borderId="29" xfId="1" applyNumberFormat="1" applyFont="1" applyBorder="1" applyAlignment="1">
      <alignment horizontal="center" vertical="center"/>
    </xf>
    <xf numFmtId="41" fontId="3" fillId="0" borderId="29" xfId="1" applyNumberFormat="1" applyFont="1" applyBorder="1" applyAlignment="1">
      <alignment horizontal="center" vertical="center"/>
    </xf>
    <xf numFmtId="177" fontId="3" fillId="0" borderId="32" xfId="1" applyNumberFormat="1" applyFont="1" applyBorder="1" applyAlignment="1">
      <alignment horizontal="center" vertical="center"/>
    </xf>
    <xf numFmtId="178" fontId="3" fillId="0" borderId="32" xfId="1" applyNumberFormat="1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9" fontId="0" fillId="0" borderId="29" xfId="0" applyNumberFormat="1" applyBorder="1">
      <alignment vertical="center"/>
    </xf>
    <xf numFmtId="41" fontId="0" fillId="0" borderId="30" xfId="1" applyFont="1" applyBorder="1">
      <alignment vertical="center"/>
    </xf>
    <xf numFmtId="41" fontId="0" fillId="0" borderId="31" xfId="1" applyFont="1" applyBorder="1">
      <alignment vertical="center"/>
    </xf>
    <xf numFmtId="41" fontId="0" fillId="0" borderId="32" xfId="1" applyFont="1" applyBorder="1">
      <alignment vertical="center"/>
    </xf>
    <xf numFmtId="41" fontId="0" fillId="0" borderId="33" xfId="1" applyFont="1" applyBorder="1">
      <alignment vertical="center"/>
    </xf>
    <xf numFmtId="179" fontId="4" fillId="0" borderId="34" xfId="0" applyNumberFormat="1" applyFont="1" applyBorder="1">
      <alignment vertical="center"/>
    </xf>
    <xf numFmtId="0" fontId="3" fillId="0" borderId="35" xfId="2" applyBorder="1" applyAlignment="1">
      <alignment horizontal="distributed" vertical="center"/>
    </xf>
    <xf numFmtId="41" fontId="3" fillId="0" borderId="36" xfId="1" applyFont="1" applyBorder="1" applyAlignment="1">
      <alignment horizontal="distributed" vertical="center"/>
    </xf>
    <xf numFmtId="41" fontId="3" fillId="0" borderId="37" xfId="1" applyNumberFormat="1" applyFont="1" applyBorder="1" applyAlignment="1">
      <alignment horizontal="center" vertical="center"/>
    </xf>
    <xf numFmtId="176" fontId="3" fillId="0" borderId="37" xfId="1" applyNumberFormat="1" applyFont="1" applyBorder="1" applyAlignment="1">
      <alignment horizontal="center" vertical="center"/>
    </xf>
    <xf numFmtId="177" fontId="3" fillId="0" borderId="37" xfId="1" applyNumberFormat="1" applyFont="1" applyBorder="1" applyAlignment="1">
      <alignment horizontal="center" vertical="center"/>
    </xf>
    <xf numFmtId="178" fontId="3" fillId="0" borderId="38" xfId="1" applyNumberFormat="1" applyFont="1" applyBorder="1" applyAlignment="1">
      <alignment horizontal="center" vertical="center"/>
    </xf>
    <xf numFmtId="41" fontId="3" fillId="0" borderId="39" xfId="1" applyNumberFormat="1" applyFont="1" applyBorder="1" applyAlignment="1">
      <alignment horizontal="center" vertical="center"/>
    </xf>
    <xf numFmtId="178" fontId="3" fillId="0" borderId="40" xfId="1" applyNumberFormat="1" applyFont="1" applyBorder="1" applyAlignment="1">
      <alignment horizontal="center" vertical="center"/>
    </xf>
    <xf numFmtId="178" fontId="3" fillId="0" borderId="36" xfId="1" applyNumberFormat="1" applyFont="1" applyBorder="1" applyAlignment="1">
      <alignment horizontal="center" vertical="center"/>
    </xf>
    <xf numFmtId="41" fontId="3" fillId="0" borderId="36" xfId="1" applyNumberFormat="1" applyFont="1" applyBorder="1" applyAlignment="1">
      <alignment horizontal="center" vertical="center"/>
    </xf>
    <xf numFmtId="177" fontId="3" fillId="0" borderId="39" xfId="1" applyNumberFormat="1" applyFont="1" applyBorder="1" applyAlignment="1">
      <alignment horizontal="center" vertical="center"/>
    </xf>
    <xf numFmtId="178" fontId="3" fillId="0" borderId="39" xfId="1" applyNumberFormat="1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79" fontId="0" fillId="0" borderId="36" xfId="0" applyNumberFormat="1" applyBorder="1">
      <alignment vertical="center"/>
    </xf>
    <xf numFmtId="41" fontId="0" fillId="0" borderId="37" xfId="1" applyFont="1" applyBorder="1">
      <alignment vertical="center"/>
    </xf>
    <xf numFmtId="41" fontId="0" fillId="0" borderId="38" xfId="1" applyFont="1" applyBorder="1">
      <alignment vertical="center"/>
    </xf>
    <xf numFmtId="41" fontId="0" fillId="0" borderId="39" xfId="1" applyFont="1" applyBorder="1">
      <alignment vertical="center"/>
    </xf>
    <xf numFmtId="41" fontId="0" fillId="0" borderId="40" xfId="1" applyFont="1" applyBorder="1">
      <alignment vertical="center"/>
    </xf>
    <xf numFmtId="0" fontId="3" fillId="0" borderId="35" xfId="2" applyFont="1" applyBorder="1" applyAlignment="1">
      <alignment horizontal="distributed" vertical="center"/>
    </xf>
    <xf numFmtId="0" fontId="3" fillId="0" borderId="37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179" fontId="3" fillId="0" borderId="36" xfId="0" applyNumberFormat="1" applyFont="1" applyBorder="1">
      <alignment vertical="center"/>
    </xf>
    <xf numFmtId="41" fontId="3" fillId="0" borderId="37" xfId="1" applyFont="1" applyBorder="1">
      <alignment vertical="center"/>
    </xf>
    <xf numFmtId="41" fontId="3" fillId="0" borderId="38" xfId="1" applyFont="1" applyBorder="1">
      <alignment vertical="center"/>
    </xf>
    <xf numFmtId="41" fontId="3" fillId="0" borderId="39" xfId="1" applyFont="1" applyBorder="1">
      <alignment vertical="center"/>
    </xf>
    <xf numFmtId="41" fontId="3" fillId="0" borderId="40" xfId="1" applyFont="1" applyBorder="1">
      <alignment vertical="center"/>
    </xf>
    <xf numFmtId="41" fontId="0" fillId="0" borderId="36" xfId="0" applyNumberFormat="1" applyBorder="1">
      <alignment vertical="center"/>
    </xf>
    <xf numFmtId="0" fontId="3" fillId="0" borderId="41" xfId="2" applyBorder="1" applyAlignment="1">
      <alignment horizontal="distributed" vertical="center"/>
    </xf>
    <xf numFmtId="41" fontId="3" fillId="0" borderId="42" xfId="1" applyFont="1" applyBorder="1" applyAlignment="1">
      <alignment horizontal="distributed" vertical="center"/>
    </xf>
    <xf numFmtId="41" fontId="3" fillId="0" borderId="43" xfId="1" applyNumberFormat="1" applyFont="1" applyBorder="1" applyAlignment="1">
      <alignment horizontal="center" vertical="center"/>
    </xf>
    <xf numFmtId="176" fontId="3" fillId="0" borderId="43" xfId="1" applyNumberFormat="1" applyFont="1" applyBorder="1" applyAlignment="1">
      <alignment horizontal="center" vertical="center"/>
    </xf>
    <xf numFmtId="177" fontId="3" fillId="0" borderId="43" xfId="1" applyNumberFormat="1" applyFont="1" applyBorder="1" applyAlignment="1">
      <alignment horizontal="center" vertical="center"/>
    </xf>
    <xf numFmtId="178" fontId="3" fillId="0" borderId="44" xfId="1" applyNumberFormat="1" applyFont="1" applyBorder="1" applyAlignment="1">
      <alignment horizontal="center" vertical="center"/>
    </xf>
    <xf numFmtId="41" fontId="3" fillId="0" borderId="45" xfId="1" applyNumberFormat="1" applyFont="1" applyBorder="1" applyAlignment="1">
      <alignment horizontal="center" vertical="center"/>
    </xf>
    <xf numFmtId="178" fontId="3" fillId="0" borderId="46" xfId="1" applyNumberFormat="1" applyFont="1" applyBorder="1" applyAlignment="1">
      <alignment horizontal="center" vertical="center"/>
    </xf>
    <xf numFmtId="178" fontId="3" fillId="0" borderId="42" xfId="1" applyNumberFormat="1" applyFont="1" applyBorder="1" applyAlignment="1">
      <alignment horizontal="center" vertical="center"/>
    </xf>
    <xf numFmtId="41" fontId="3" fillId="0" borderId="42" xfId="1" applyNumberFormat="1" applyFont="1" applyBorder="1" applyAlignment="1">
      <alignment horizontal="center" vertical="center"/>
    </xf>
    <xf numFmtId="177" fontId="3" fillId="0" borderId="45" xfId="1" applyNumberFormat="1" applyFont="1" applyBorder="1" applyAlignment="1">
      <alignment horizontal="center" vertical="center"/>
    </xf>
    <xf numFmtId="178" fontId="3" fillId="0" borderId="45" xfId="1" applyNumberFormat="1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41" fontId="0" fillId="0" borderId="42" xfId="0" applyNumberFormat="1" applyBorder="1">
      <alignment vertical="center"/>
    </xf>
    <xf numFmtId="41" fontId="0" fillId="0" borderId="43" xfId="1" applyFont="1" applyBorder="1">
      <alignment vertical="center"/>
    </xf>
    <xf numFmtId="41" fontId="3" fillId="0" borderId="43" xfId="1" applyFont="1" applyBorder="1">
      <alignment vertical="center"/>
    </xf>
    <xf numFmtId="41" fontId="0" fillId="0" borderId="44" xfId="1" applyFont="1" applyBorder="1">
      <alignment vertical="center"/>
    </xf>
    <xf numFmtId="41" fontId="0" fillId="0" borderId="45" xfId="1" applyFont="1" applyBorder="1">
      <alignment vertical="center"/>
    </xf>
    <xf numFmtId="41" fontId="0" fillId="0" borderId="46" xfId="1" applyFont="1" applyBorder="1">
      <alignment vertical="center"/>
    </xf>
    <xf numFmtId="179" fontId="4" fillId="0" borderId="47" xfId="0" applyNumberFormat="1" applyFont="1" applyBorder="1">
      <alignment vertical="center"/>
    </xf>
    <xf numFmtId="0" fontId="4" fillId="0" borderId="48" xfId="2" applyFont="1" applyFill="1" applyBorder="1" applyAlignment="1">
      <alignment horizontal="distributed" vertical="center"/>
    </xf>
    <xf numFmtId="41" fontId="4" fillId="0" borderId="49" xfId="1" applyFont="1" applyBorder="1">
      <alignment vertical="center"/>
    </xf>
    <xf numFmtId="41" fontId="4" fillId="0" borderId="50" xfId="1" applyFont="1" applyBorder="1">
      <alignment vertical="center"/>
    </xf>
    <xf numFmtId="41" fontId="4" fillId="0" borderId="51" xfId="1" applyFont="1" applyBorder="1">
      <alignment vertical="center"/>
    </xf>
    <xf numFmtId="41" fontId="4" fillId="0" borderId="52" xfId="1" applyFont="1" applyBorder="1">
      <alignment vertical="center"/>
    </xf>
    <xf numFmtId="41" fontId="4" fillId="0" borderId="53" xfId="1" applyFont="1" applyBorder="1">
      <alignment vertical="center"/>
    </xf>
    <xf numFmtId="41" fontId="4" fillId="0" borderId="49" xfId="1" applyFont="1" applyBorder="1" applyAlignment="1">
      <alignment horizontal="center" vertical="center"/>
    </xf>
    <xf numFmtId="41" fontId="4" fillId="0" borderId="54" xfId="1" applyFont="1" applyBorder="1">
      <alignment vertical="center"/>
    </xf>
    <xf numFmtId="41" fontId="4" fillId="33" borderId="16" xfId="1" applyNumberFormat="1" applyFont="1" applyFill="1" applyBorder="1" applyAlignment="1">
      <alignment horizontal="center" vertical="center"/>
    </xf>
    <xf numFmtId="41" fontId="4" fillId="33" borderId="25" xfId="1" applyNumberFormat="1" applyFont="1" applyFill="1" applyBorder="1" applyAlignment="1">
      <alignment horizontal="center" vertical="center"/>
    </xf>
    <xf numFmtId="0" fontId="4" fillId="33" borderId="17" xfId="0" applyFont="1" applyFill="1" applyBorder="1" applyAlignment="1">
      <alignment horizontal="center" vertical="center"/>
    </xf>
    <xf numFmtId="0" fontId="4" fillId="33" borderId="26" xfId="0" applyFont="1" applyFill="1" applyBorder="1" applyAlignment="1">
      <alignment horizontal="center" vertical="center"/>
    </xf>
    <xf numFmtId="0" fontId="4" fillId="33" borderId="18" xfId="0" applyFont="1" applyFill="1" applyBorder="1" applyAlignment="1">
      <alignment horizontal="center" vertical="center"/>
    </xf>
    <xf numFmtId="0" fontId="4" fillId="33" borderId="27" xfId="0" applyFont="1" applyFill="1" applyBorder="1" applyAlignment="1">
      <alignment horizontal="center" vertical="center"/>
    </xf>
    <xf numFmtId="0" fontId="4" fillId="33" borderId="10" xfId="0" applyFont="1" applyFill="1" applyBorder="1" applyAlignment="1">
      <alignment horizontal="center" vertical="center"/>
    </xf>
    <xf numFmtId="0" fontId="4" fillId="33" borderId="19" xfId="0" applyFont="1" applyFill="1" applyBorder="1" applyAlignment="1">
      <alignment horizontal="center" vertical="center"/>
    </xf>
    <xf numFmtId="0" fontId="4" fillId="33" borderId="10" xfId="2" applyNumberFormat="1" applyFont="1" applyFill="1" applyBorder="1" applyAlignment="1">
      <alignment horizontal="center" vertical="center"/>
    </xf>
    <xf numFmtId="0" fontId="4" fillId="33" borderId="19" xfId="2" applyNumberFormat="1" applyFont="1" applyFill="1" applyBorder="1" applyAlignment="1">
      <alignment horizontal="center" vertical="center"/>
    </xf>
    <xf numFmtId="41" fontId="22" fillId="0" borderId="37" xfId="1" applyNumberFormat="1" applyFont="1" applyBorder="1" applyAlignment="1">
      <alignment horizontal="center" vertical="center"/>
    </xf>
    <xf numFmtId="176" fontId="4" fillId="0" borderId="50" xfId="1" applyNumberFormat="1" applyFont="1" applyBorder="1">
      <alignment vertical="center"/>
    </xf>
    <xf numFmtId="178" fontId="0" fillId="0" borderId="0" xfId="0" applyNumberFormat="1">
      <alignment vertical="center"/>
    </xf>
    <xf numFmtId="0" fontId="0" fillId="0" borderId="40" xfId="0" applyBorder="1">
      <alignment vertical="center"/>
    </xf>
    <xf numFmtId="0" fontId="0" fillId="0" borderId="15" xfId="0" applyBorder="1">
      <alignment vertical="center"/>
    </xf>
    <xf numFmtId="0" fontId="3" fillId="0" borderId="32" xfId="2" applyBorder="1" applyAlignment="1">
      <alignment horizontal="distributed" vertical="center"/>
    </xf>
    <xf numFmtId="0" fontId="3" fillId="0" borderId="39" xfId="2" applyBorder="1" applyAlignment="1">
      <alignment horizontal="distributed" vertical="center"/>
    </xf>
    <xf numFmtId="0" fontId="3" fillId="0" borderId="39" xfId="2" applyFont="1" applyBorder="1" applyAlignment="1">
      <alignment horizontal="distributed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0" fillId="0" borderId="12" xfId="1" applyFont="1" applyBorder="1">
      <alignment vertical="center"/>
    </xf>
    <xf numFmtId="180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23" fillId="34" borderId="49" xfId="2" applyNumberFormat="1" applyFont="1" applyFill="1" applyBorder="1" applyAlignment="1">
      <alignment horizontal="center" vertical="center"/>
    </xf>
    <xf numFmtId="0" fontId="23" fillId="34" borderId="50" xfId="0" applyFont="1" applyFill="1" applyBorder="1" applyAlignment="1">
      <alignment horizontal="center" vertical="center"/>
    </xf>
    <xf numFmtId="41" fontId="23" fillId="34" borderId="50" xfId="1" applyFont="1" applyFill="1" applyBorder="1" applyAlignment="1">
      <alignment horizontal="center" vertical="center" wrapText="1"/>
    </xf>
    <xf numFmtId="0" fontId="23" fillId="34" borderId="51" xfId="0" applyFont="1" applyFill="1" applyBorder="1" applyAlignment="1">
      <alignment horizontal="center" vertical="center"/>
    </xf>
    <xf numFmtId="0" fontId="23" fillId="34" borderId="52" xfId="0" applyFont="1" applyFill="1" applyBorder="1" applyAlignment="1">
      <alignment horizontal="center" vertical="center"/>
    </xf>
    <xf numFmtId="0" fontId="25" fillId="0" borderId="0" xfId="0" applyFont="1">
      <alignment vertical="center"/>
    </xf>
    <xf numFmtId="41" fontId="25" fillId="0" borderId="0" xfId="1" applyFont="1">
      <alignment vertical="center"/>
    </xf>
    <xf numFmtId="43" fontId="25" fillId="0" borderId="0" xfId="0" applyNumberFormat="1" applyFont="1">
      <alignment vertical="center"/>
    </xf>
    <xf numFmtId="41" fontId="4" fillId="36" borderId="50" xfId="1" applyFont="1" applyFill="1" applyBorder="1">
      <alignment vertical="center"/>
    </xf>
    <xf numFmtId="179" fontId="4" fillId="36" borderId="51" xfId="0" applyNumberFormat="1" applyFont="1" applyFill="1" applyBorder="1">
      <alignment vertical="center"/>
    </xf>
    <xf numFmtId="0" fontId="4" fillId="36" borderId="52" xfId="0" applyFont="1" applyFill="1" applyBorder="1">
      <alignment vertical="center"/>
    </xf>
    <xf numFmtId="0" fontId="4" fillId="36" borderId="49" xfId="2" applyFont="1" applyFill="1" applyBorder="1" applyAlignment="1">
      <alignment horizontal="distributed" vertical="center"/>
    </xf>
    <xf numFmtId="0" fontId="26" fillId="37" borderId="60" xfId="0" applyFont="1" applyFill="1" applyBorder="1" applyAlignment="1">
      <alignment horizontal="center" vertical="center"/>
    </xf>
    <xf numFmtId="0" fontId="26" fillId="37" borderId="61" xfId="0" applyFont="1" applyFill="1" applyBorder="1" applyAlignment="1">
      <alignment horizontal="center" vertical="center"/>
    </xf>
    <xf numFmtId="0" fontId="28" fillId="38" borderId="62" xfId="0" applyFont="1" applyFill="1" applyBorder="1" applyAlignment="1">
      <alignment horizontal="center" vertical="center"/>
    </xf>
    <xf numFmtId="0" fontId="0" fillId="39" borderId="63" xfId="0" applyFill="1" applyBorder="1">
      <alignment vertical="center"/>
    </xf>
    <xf numFmtId="0" fontId="0" fillId="39" borderId="69" xfId="0" applyFill="1" applyBorder="1">
      <alignment vertical="center"/>
    </xf>
    <xf numFmtId="41" fontId="33" fillId="39" borderId="69" xfId="1" applyFont="1" applyFill="1" applyBorder="1" applyAlignment="1">
      <alignment horizontal="center" vertical="center"/>
    </xf>
    <xf numFmtId="41" fontId="33" fillId="39" borderId="69" xfId="1" applyFont="1" applyFill="1" applyBorder="1" applyAlignment="1">
      <alignment horizontal="center" vertical="center" wrapText="1"/>
    </xf>
    <xf numFmtId="41" fontId="33" fillId="39" borderId="71" xfId="1" applyFont="1" applyFill="1" applyBorder="1" applyAlignment="1">
      <alignment horizontal="center" vertical="center" wrapText="1"/>
    </xf>
    <xf numFmtId="41" fontId="33" fillId="40" borderId="69" xfId="1" applyFont="1" applyFill="1" applyBorder="1" applyAlignment="1">
      <alignment horizontal="center" vertical="center"/>
    </xf>
    <xf numFmtId="41" fontId="34" fillId="40" borderId="69" xfId="1" applyFont="1" applyFill="1" applyBorder="1" applyAlignment="1">
      <alignment horizontal="center" vertical="center"/>
    </xf>
    <xf numFmtId="41" fontId="33" fillId="40" borderId="69" xfId="1" applyFont="1" applyFill="1" applyBorder="1" applyAlignment="1">
      <alignment horizontal="center" vertical="center" wrapText="1"/>
    </xf>
    <xf numFmtId="41" fontId="33" fillId="40" borderId="72" xfId="1" applyFont="1" applyFill="1" applyBorder="1" applyAlignment="1">
      <alignment horizontal="center" vertical="center" wrapText="1"/>
    </xf>
    <xf numFmtId="0" fontId="0" fillId="41" borderId="63" xfId="0" applyFill="1" applyBorder="1">
      <alignment vertical="center"/>
    </xf>
    <xf numFmtId="0" fontId="36" fillId="41" borderId="64" xfId="3186" applyFont="1" applyFill="1" applyBorder="1" applyAlignment="1">
      <alignment horizontal="center" vertical="center"/>
    </xf>
    <xf numFmtId="41" fontId="37" fillId="0" borderId="73" xfId="1" applyFont="1" applyBorder="1" applyAlignment="1">
      <alignment horizontal="center" vertical="center"/>
    </xf>
    <xf numFmtId="41" fontId="38" fillId="0" borderId="73" xfId="1" applyFont="1" applyBorder="1">
      <alignment vertical="center"/>
    </xf>
    <xf numFmtId="181" fontId="38" fillId="0" borderId="63" xfId="0" applyNumberFormat="1" applyFont="1" applyBorder="1">
      <alignment vertical="center"/>
    </xf>
    <xf numFmtId="0" fontId="38" fillId="0" borderId="63" xfId="0" applyFont="1" applyBorder="1">
      <alignment vertical="center"/>
    </xf>
    <xf numFmtId="181" fontId="39" fillId="0" borderId="63" xfId="0" applyNumberFormat="1" applyFont="1" applyFill="1" applyBorder="1">
      <alignment vertical="center"/>
    </xf>
    <xf numFmtId="182" fontId="38" fillId="0" borderId="63" xfId="0" applyNumberFormat="1" applyFont="1" applyBorder="1">
      <alignment vertical="center"/>
    </xf>
    <xf numFmtId="182" fontId="38" fillId="0" borderId="65" xfId="0" applyNumberFormat="1" applyFont="1" applyBorder="1">
      <alignment vertical="center"/>
    </xf>
    <xf numFmtId="180" fontId="38" fillId="0" borderId="74" xfId="0" applyNumberFormat="1" applyFont="1" applyBorder="1">
      <alignment vertical="center"/>
    </xf>
    <xf numFmtId="0" fontId="36" fillId="41" borderId="59" xfId="3186" applyFont="1" applyFill="1" applyBorder="1" applyAlignment="1">
      <alignment horizontal="center" vertical="center"/>
    </xf>
    <xf numFmtId="41" fontId="37" fillId="42" borderId="73" xfId="1" applyFont="1" applyFill="1" applyBorder="1" applyAlignment="1">
      <alignment horizontal="center" vertical="center"/>
    </xf>
    <xf numFmtId="41" fontId="38" fillId="42" borderId="73" xfId="1" applyFont="1" applyFill="1" applyBorder="1">
      <alignment vertical="center"/>
    </xf>
    <xf numFmtId="181" fontId="39" fillId="42" borderId="63" xfId="0" applyNumberFormat="1" applyFont="1" applyFill="1" applyBorder="1">
      <alignment vertical="center"/>
    </xf>
    <xf numFmtId="183" fontId="38" fillId="0" borderId="73" xfId="0" applyNumberFormat="1" applyFont="1" applyBorder="1">
      <alignment vertical="center"/>
    </xf>
    <xf numFmtId="0" fontId="38" fillId="0" borderId="73" xfId="0" applyFont="1" applyBorder="1">
      <alignment vertical="center"/>
    </xf>
    <xf numFmtId="184" fontId="38" fillId="42" borderId="73" xfId="0" applyNumberFormat="1" applyFont="1" applyFill="1" applyBorder="1">
      <alignment vertical="center"/>
    </xf>
    <xf numFmtId="185" fontId="38" fillId="42" borderId="75" xfId="0" applyNumberFormat="1" applyFont="1" applyFill="1" applyBorder="1">
      <alignment vertical="center"/>
    </xf>
    <xf numFmtId="0" fontId="0" fillId="41" borderId="80" xfId="0" applyFill="1" applyBorder="1">
      <alignment vertical="center"/>
    </xf>
    <xf numFmtId="0" fontId="36" fillId="41" borderId="81" xfId="3186" applyFont="1" applyFill="1" applyBorder="1" applyAlignment="1">
      <alignment horizontal="center" vertical="center"/>
    </xf>
    <xf numFmtId="41" fontId="37" fillId="0" borderId="80" xfId="1" applyFont="1" applyBorder="1" applyAlignment="1">
      <alignment horizontal="center" vertical="center"/>
    </xf>
    <xf numFmtId="41" fontId="38" fillId="0" borderId="80" xfId="1" applyFont="1" applyBorder="1">
      <alignment vertical="center"/>
    </xf>
    <xf numFmtId="181" fontId="38" fillId="0" borderId="82" xfId="0" applyNumberFormat="1" applyFont="1" applyBorder="1">
      <alignment vertical="center"/>
    </xf>
    <xf numFmtId="0" fontId="38" fillId="0" borderId="80" xfId="0" applyFont="1" applyBorder="1">
      <alignment vertical="center"/>
    </xf>
    <xf numFmtId="181" fontId="39" fillId="0" borderId="82" xfId="0" applyNumberFormat="1" applyFont="1" applyFill="1" applyBorder="1">
      <alignment vertical="center"/>
    </xf>
    <xf numFmtId="182" fontId="38" fillId="0" borderId="82" xfId="0" applyNumberFormat="1" applyFont="1" applyBorder="1">
      <alignment vertical="center"/>
    </xf>
    <xf numFmtId="182" fontId="38" fillId="0" borderId="83" xfId="0" applyNumberFormat="1" applyFont="1" applyBorder="1">
      <alignment vertical="center"/>
    </xf>
    <xf numFmtId="0" fontId="36" fillId="41" borderId="61" xfId="3186" applyFont="1" applyFill="1" applyBorder="1" applyAlignment="1">
      <alignment horizontal="center" vertical="center"/>
    </xf>
    <xf numFmtId="41" fontId="37" fillId="42" borderId="80" xfId="1" applyFont="1" applyFill="1" applyBorder="1" applyAlignment="1">
      <alignment horizontal="center" vertical="center"/>
    </xf>
    <xf numFmtId="41" fontId="38" fillId="42" borderId="80" xfId="1" applyFont="1" applyFill="1" applyBorder="1">
      <alignment vertical="center"/>
    </xf>
    <xf numFmtId="181" fontId="39" fillId="42" borderId="82" xfId="0" applyNumberFormat="1" applyFont="1" applyFill="1" applyBorder="1">
      <alignment vertical="center"/>
    </xf>
    <xf numFmtId="183" fontId="38" fillId="0" borderId="80" xfId="0" applyNumberFormat="1" applyFont="1" applyBorder="1">
      <alignment vertical="center"/>
    </xf>
    <xf numFmtId="184" fontId="38" fillId="42" borderId="80" xfId="0" applyNumberFormat="1" applyFont="1" applyFill="1" applyBorder="1">
      <alignment vertical="center"/>
    </xf>
    <xf numFmtId="185" fontId="38" fillId="42" borderId="84" xfId="0" applyNumberFormat="1" applyFont="1" applyFill="1" applyBorder="1">
      <alignment vertical="center"/>
    </xf>
    <xf numFmtId="0" fontId="40" fillId="43" borderId="86" xfId="0" applyFont="1" applyFill="1" applyBorder="1" applyAlignment="1">
      <alignment horizontal="center" wrapText="1"/>
    </xf>
    <xf numFmtId="0" fontId="40" fillId="43" borderId="86" xfId="0" applyFont="1" applyFill="1" applyBorder="1" applyAlignment="1">
      <alignment horizontal="center"/>
    </xf>
    <xf numFmtId="0" fontId="40" fillId="43" borderId="87" xfId="0" applyFont="1" applyFill="1" applyBorder="1" applyAlignment="1">
      <alignment horizontal="center"/>
    </xf>
    <xf numFmtId="0" fontId="41" fillId="0" borderId="88" xfId="0" applyFont="1" applyBorder="1" applyAlignment="1">
      <alignment horizontal="left" vertical="center" wrapText="1"/>
    </xf>
    <xf numFmtId="3" fontId="42" fillId="0" borderId="88" xfId="0" applyNumberFormat="1" applyFont="1" applyBorder="1" applyAlignment="1">
      <alignment horizontal="right" vertical="center"/>
    </xf>
    <xf numFmtId="3" fontId="43" fillId="0" borderId="88" xfId="0" applyNumberFormat="1" applyFont="1" applyBorder="1" applyAlignment="1">
      <alignment horizontal="right" vertical="center"/>
    </xf>
    <xf numFmtId="3" fontId="43" fillId="0" borderId="89" xfId="0" applyNumberFormat="1" applyFont="1" applyBorder="1" applyAlignment="1">
      <alignment horizontal="right" vertical="center"/>
    </xf>
    <xf numFmtId="3" fontId="0" fillId="44" borderId="0" xfId="0" applyNumberFormat="1" applyFill="1">
      <alignment vertical="center"/>
    </xf>
    <xf numFmtId="0" fontId="41" fillId="0" borderId="90" xfId="0" applyFont="1" applyBorder="1" applyAlignment="1">
      <alignment horizontal="left" vertical="center" wrapText="1"/>
    </xf>
    <xf numFmtId="0" fontId="0" fillId="41" borderId="92" xfId="0" applyFill="1" applyBorder="1">
      <alignment vertical="center"/>
    </xf>
    <xf numFmtId="0" fontId="36" fillId="41" borderId="93" xfId="3186" applyFont="1" applyFill="1" applyBorder="1" applyAlignment="1">
      <alignment horizontal="center" vertical="center"/>
    </xf>
    <xf numFmtId="41" fontId="37" fillId="0" borderId="82" xfId="1" applyFont="1" applyBorder="1" applyAlignment="1">
      <alignment horizontal="center" vertical="center"/>
    </xf>
    <xf numFmtId="41" fontId="38" fillId="0" borderId="82" xfId="1" applyFont="1" applyBorder="1">
      <alignment vertical="center"/>
    </xf>
    <xf numFmtId="181" fontId="38" fillId="0" borderId="94" xfId="0" applyNumberFormat="1" applyFont="1" applyBorder="1">
      <alignment vertical="center"/>
    </xf>
    <xf numFmtId="0" fontId="38" fillId="0" borderId="92" xfId="0" applyFont="1" applyBorder="1">
      <alignment vertical="center"/>
    </xf>
    <xf numFmtId="181" fontId="39" fillId="0" borderId="94" xfId="0" applyNumberFormat="1" applyFont="1" applyFill="1" applyBorder="1">
      <alignment vertical="center"/>
    </xf>
    <xf numFmtId="182" fontId="38" fillId="0" borderId="94" xfId="0" applyNumberFormat="1" applyFont="1" applyBorder="1">
      <alignment vertical="center"/>
    </xf>
    <xf numFmtId="182" fontId="38" fillId="0" borderId="95" xfId="0" applyNumberFormat="1" applyFont="1" applyBorder="1">
      <alignment vertical="center"/>
    </xf>
    <xf numFmtId="0" fontId="36" fillId="41" borderId="62" xfId="3186" applyFont="1" applyFill="1" applyBorder="1" applyAlignment="1">
      <alignment horizontal="center" vertical="center"/>
    </xf>
    <xf numFmtId="41" fontId="37" fillId="42" borderId="94" xfId="1" applyFont="1" applyFill="1" applyBorder="1" applyAlignment="1">
      <alignment horizontal="center" vertical="center"/>
    </xf>
    <xf numFmtId="41" fontId="37" fillId="0" borderId="94" xfId="1" applyFont="1" applyBorder="1" applyAlignment="1">
      <alignment horizontal="center" vertical="center"/>
    </xf>
    <xf numFmtId="41" fontId="38" fillId="42" borderId="82" xfId="1" applyFont="1" applyFill="1" applyBorder="1">
      <alignment vertical="center"/>
    </xf>
    <xf numFmtId="41" fontId="38" fillId="42" borderId="92" xfId="1" applyFont="1" applyFill="1" applyBorder="1">
      <alignment vertical="center"/>
    </xf>
    <xf numFmtId="181" fontId="39" fillId="42" borderId="94" xfId="0" applyNumberFormat="1" applyFont="1" applyFill="1" applyBorder="1">
      <alignment vertical="center"/>
    </xf>
    <xf numFmtId="183" fontId="38" fillId="0" borderId="92" xfId="0" applyNumberFormat="1" applyFont="1" applyBorder="1">
      <alignment vertical="center"/>
    </xf>
    <xf numFmtId="184" fontId="38" fillId="42" borderId="96" xfId="0" applyNumberFormat="1" applyFont="1" applyFill="1" applyBorder="1">
      <alignment vertical="center"/>
    </xf>
    <xf numFmtId="185" fontId="38" fillId="42" borderId="97" xfId="0" applyNumberFormat="1" applyFont="1" applyFill="1" applyBorder="1">
      <alignment vertical="center"/>
    </xf>
    <xf numFmtId="0" fontId="0" fillId="45" borderId="63" xfId="0" applyFill="1" applyBorder="1">
      <alignment vertical="center"/>
    </xf>
    <xf numFmtId="0" fontId="36" fillId="45" borderId="64" xfId="3186" applyFont="1" applyFill="1" applyBorder="1" applyAlignment="1">
      <alignment horizontal="center" vertical="center"/>
    </xf>
    <xf numFmtId="0" fontId="36" fillId="45" borderId="59" xfId="3186" applyFont="1" applyFill="1" applyBorder="1" applyAlignment="1">
      <alignment horizontal="center" vertical="center"/>
    </xf>
    <xf numFmtId="41" fontId="38" fillId="42" borderId="63" xfId="1" applyFont="1" applyFill="1" applyBorder="1">
      <alignment vertical="center"/>
    </xf>
    <xf numFmtId="183" fontId="38" fillId="0" borderId="63" xfId="0" applyNumberFormat="1" applyFont="1" applyBorder="1">
      <alignment vertical="center"/>
    </xf>
    <xf numFmtId="185" fontId="38" fillId="42" borderId="98" xfId="0" applyNumberFormat="1" applyFont="1" applyFill="1" applyBorder="1">
      <alignment vertical="center"/>
    </xf>
    <xf numFmtId="0" fontId="0" fillId="45" borderId="80" xfId="0" applyFill="1" applyBorder="1">
      <alignment vertical="center"/>
    </xf>
    <xf numFmtId="0" fontId="44" fillId="45" borderId="81" xfId="3186" applyFont="1" applyFill="1" applyBorder="1" applyAlignment="1">
      <alignment horizontal="center" vertical="center"/>
    </xf>
    <xf numFmtId="0" fontId="36" fillId="45" borderId="61" xfId="3186" applyFont="1" applyFill="1" applyBorder="1" applyAlignment="1">
      <alignment horizontal="center" vertical="center"/>
    </xf>
    <xf numFmtId="0" fontId="36" fillId="45" borderId="81" xfId="3186" applyFont="1" applyFill="1" applyBorder="1" applyAlignment="1">
      <alignment horizontal="center" vertical="center"/>
    </xf>
    <xf numFmtId="0" fontId="44" fillId="45" borderId="61" xfId="3186" applyFont="1" applyFill="1" applyBorder="1" applyAlignment="1">
      <alignment horizontal="center" vertical="center"/>
    </xf>
    <xf numFmtId="0" fontId="0" fillId="45" borderId="92" xfId="0" applyFill="1" applyBorder="1">
      <alignment vertical="center"/>
    </xf>
    <xf numFmtId="0" fontId="36" fillId="45" borderId="93" xfId="3186" applyFont="1" applyFill="1" applyBorder="1" applyAlignment="1">
      <alignment horizontal="center" vertical="center"/>
    </xf>
    <xf numFmtId="0" fontId="36" fillId="45" borderId="62" xfId="3186" applyFont="1" applyFill="1" applyBorder="1" applyAlignment="1">
      <alignment horizontal="center" vertical="center"/>
    </xf>
    <xf numFmtId="0" fontId="0" fillId="46" borderId="63" xfId="0" applyFill="1" applyBorder="1">
      <alignment vertical="center"/>
    </xf>
    <xf numFmtId="0" fontId="36" fillId="46" borderId="64" xfId="3186" applyFont="1" applyFill="1" applyBorder="1" applyAlignment="1">
      <alignment horizontal="center" vertical="center"/>
    </xf>
    <xf numFmtId="0" fontId="36" fillId="46" borderId="59" xfId="3186" applyFont="1" applyFill="1" applyBorder="1" applyAlignment="1">
      <alignment horizontal="center" vertical="center"/>
    </xf>
    <xf numFmtId="0" fontId="0" fillId="46" borderId="80" xfId="0" applyFill="1" applyBorder="1">
      <alignment vertical="center"/>
    </xf>
    <xf numFmtId="0" fontId="36" fillId="46" borderId="81" xfId="3186" applyFont="1" applyFill="1" applyBorder="1" applyAlignment="1">
      <alignment horizontal="center" vertical="center"/>
    </xf>
    <xf numFmtId="0" fontId="36" fillId="46" borderId="61" xfId="3186" applyFont="1" applyFill="1" applyBorder="1" applyAlignment="1">
      <alignment horizontal="center" vertical="center"/>
    </xf>
    <xf numFmtId="0" fontId="44" fillId="46" borderId="81" xfId="3186" applyFont="1" applyFill="1" applyBorder="1" applyAlignment="1">
      <alignment horizontal="center" vertical="center"/>
    </xf>
    <xf numFmtId="0" fontId="44" fillId="46" borderId="61" xfId="3186" applyFont="1" applyFill="1" applyBorder="1" applyAlignment="1">
      <alignment horizontal="center" vertical="center"/>
    </xf>
    <xf numFmtId="0" fontId="0" fillId="46" borderId="92" xfId="0" applyFill="1" applyBorder="1">
      <alignment vertical="center"/>
    </xf>
    <xf numFmtId="0" fontId="36" fillId="46" borderId="93" xfId="3186" applyFont="1" applyFill="1" applyBorder="1" applyAlignment="1">
      <alignment horizontal="center" vertical="center"/>
    </xf>
    <xf numFmtId="0" fontId="36" fillId="46" borderId="62" xfId="3186" applyFont="1" applyFill="1" applyBorder="1" applyAlignment="1">
      <alignment horizontal="center" vertical="center"/>
    </xf>
    <xf numFmtId="41" fontId="38" fillId="42" borderId="94" xfId="1" applyFont="1" applyFill="1" applyBorder="1">
      <alignment vertical="center"/>
    </xf>
    <xf numFmtId="0" fontId="41" fillId="47" borderId="90" xfId="0" applyFont="1" applyFill="1" applyBorder="1" applyAlignment="1">
      <alignment horizontal="left" vertical="center" wrapText="1"/>
    </xf>
    <xf numFmtId="3" fontId="42" fillId="47" borderId="88" xfId="0" applyNumberFormat="1" applyFont="1" applyFill="1" applyBorder="1" applyAlignment="1">
      <alignment horizontal="right" vertical="center"/>
    </xf>
    <xf numFmtId="3" fontId="43" fillId="47" borderId="88" xfId="0" applyNumberFormat="1" applyFont="1" applyFill="1" applyBorder="1" applyAlignment="1">
      <alignment horizontal="right" vertical="center"/>
    </xf>
    <xf numFmtId="3" fontId="43" fillId="47" borderId="89" xfId="0" applyNumberFormat="1" applyFont="1" applyFill="1" applyBorder="1" applyAlignment="1">
      <alignment horizontal="right" vertical="center"/>
    </xf>
    <xf numFmtId="3" fontId="0" fillId="47" borderId="0" xfId="0" applyNumberFormat="1" applyFill="1">
      <alignment vertical="center"/>
    </xf>
    <xf numFmtId="3" fontId="0" fillId="0" borderId="0" xfId="0" applyNumberFormat="1">
      <alignment vertical="center"/>
    </xf>
    <xf numFmtId="0" fontId="0" fillId="48" borderId="63" xfId="0" applyFill="1" applyBorder="1">
      <alignment vertical="center"/>
    </xf>
    <xf numFmtId="0" fontId="36" fillId="48" borderId="63" xfId="3186" applyFont="1" applyFill="1" applyBorder="1" applyAlignment="1">
      <alignment horizontal="center" vertical="center"/>
    </xf>
    <xf numFmtId="0" fontId="36" fillId="48" borderId="59" xfId="3186" applyFont="1" applyFill="1" applyBorder="1" applyAlignment="1">
      <alignment horizontal="center" vertical="center"/>
    </xf>
    <xf numFmtId="0" fontId="0" fillId="48" borderId="80" xfId="0" applyFill="1" applyBorder="1">
      <alignment vertical="center"/>
    </xf>
    <xf numFmtId="0" fontId="36" fillId="48" borderId="80" xfId="3186" applyFont="1" applyFill="1" applyBorder="1" applyAlignment="1">
      <alignment horizontal="center" vertical="center"/>
    </xf>
    <xf numFmtId="181" fontId="38" fillId="0" borderId="80" xfId="0" applyNumberFormat="1" applyFont="1" applyBorder="1">
      <alignment vertical="center"/>
    </xf>
    <xf numFmtId="181" fontId="39" fillId="0" borderId="80" xfId="0" applyNumberFormat="1" applyFont="1" applyFill="1" applyBorder="1">
      <alignment vertical="center"/>
    </xf>
    <xf numFmtId="182" fontId="38" fillId="0" borderId="80" xfId="0" applyNumberFormat="1" applyFont="1" applyBorder="1">
      <alignment vertical="center"/>
    </xf>
    <xf numFmtId="182" fontId="38" fillId="0" borderId="99" xfId="0" applyNumberFormat="1" applyFont="1" applyBorder="1">
      <alignment vertical="center"/>
    </xf>
    <xf numFmtId="0" fontId="36" fillId="48" borderId="61" xfId="3186" applyFont="1" applyFill="1" applyBorder="1" applyAlignment="1">
      <alignment horizontal="center" vertical="center"/>
    </xf>
    <xf numFmtId="0" fontId="0" fillId="48" borderId="92" xfId="0" applyFill="1" applyBorder="1">
      <alignment vertical="center"/>
    </xf>
    <xf numFmtId="0" fontId="36" fillId="48" borderId="92" xfId="3186" applyFont="1" applyFill="1" applyBorder="1" applyAlignment="1">
      <alignment horizontal="center" vertical="center"/>
    </xf>
    <xf numFmtId="181" fontId="38" fillId="0" borderId="92" xfId="0" applyNumberFormat="1" applyFont="1" applyBorder="1">
      <alignment vertical="center"/>
    </xf>
    <xf numFmtId="181" fontId="39" fillId="0" borderId="92" xfId="0" applyNumberFormat="1" applyFont="1" applyFill="1" applyBorder="1">
      <alignment vertical="center"/>
    </xf>
    <xf numFmtId="182" fontId="38" fillId="0" borderId="92" xfId="0" applyNumberFormat="1" applyFont="1" applyBorder="1">
      <alignment vertical="center"/>
    </xf>
    <xf numFmtId="182" fontId="38" fillId="0" borderId="100" xfId="0" applyNumberFormat="1" applyFont="1" applyBorder="1">
      <alignment vertical="center"/>
    </xf>
    <xf numFmtId="0" fontId="36" fillId="48" borderId="62" xfId="3186" applyFont="1" applyFill="1" applyBorder="1" applyAlignment="1">
      <alignment horizontal="center" vertical="center"/>
    </xf>
    <xf numFmtId="0" fontId="0" fillId="49" borderId="63" xfId="0" applyFill="1" applyBorder="1">
      <alignment vertical="center"/>
    </xf>
    <xf numFmtId="0" fontId="36" fillId="49" borderId="63" xfId="3186" applyFont="1" applyFill="1" applyBorder="1" applyAlignment="1">
      <alignment horizontal="center" vertical="center"/>
    </xf>
    <xf numFmtId="180" fontId="38" fillId="0" borderId="61" xfId="0" applyNumberFormat="1" applyFont="1" applyBorder="1">
      <alignment vertical="center"/>
    </xf>
    <xf numFmtId="0" fontId="36" fillId="49" borderId="101" xfId="3186" applyFont="1" applyFill="1" applyBorder="1" applyAlignment="1">
      <alignment horizontal="center" vertical="center"/>
    </xf>
    <xf numFmtId="41" fontId="37" fillId="42" borderId="96" xfId="1" applyFont="1" applyFill="1" applyBorder="1" applyAlignment="1">
      <alignment horizontal="center" vertical="center"/>
    </xf>
    <xf numFmtId="41" fontId="37" fillId="0" borderId="96" xfId="1" applyFont="1" applyBorder="1" applyAlignment="1">
      <alignment horizontal="center" vertical="center"/>
    </xf>
    <xf numFmtId="0" fontId="38" fillId="0" borderId="82" xfId="0" applyFont="1" applyBorder="1">
      <alignment vertical="center"/>
    </xf>
    <xf numFmtId="183" fontId="38" fillId="0" borderId="82" xfId="0" applyNumberFormat="1" applyFont="1" applyBorder="1">
      <alignment vertical="center"/>
    </xf>
    <xf numFmtId="185" fontId="38" fillId="42" borderId="102" xfId="0" applyNumberFormat="1" applyFont="1" applyFill="1" applyBorder="1">
      <alignment vertical="center"/>
    </xf>
    <xf numFmtId="0" fontId="0" fillId="49" borderId="82" xfId="0" applyFill="1" applyBorder="1">
      <alignment vertical="center"/>
    </xf>
    <xf numFmtId="0" fontId="0" fillId="49" borderId="80" xfId="0" applyFill="1" applyBorder="1">
      <alignment vertical="center"/>
    </xf>
    <xf numFmtId="0" fontId="36" fillId="49" borderId="81" xfId="3186" applyFont="1" applyFill="1" applyBorder="1" applyAlignment="1">
      <alignment horizontal="center" vertical="center"/>
    </xf>
    <xf numFmtId="0" fontId="0" fillId="49" borderId="96" xfId="0" applyFill="1" applyBorder="1">
      <alignment vertical="center"/>
    </xf>
    <xf numFmtId="0" fontId="36" fillId="49" borderId="70" xfId="3186" applyFont="1" applyFill="1" applyBorder="1" applyAlignment="1">
      <alignment horizontal="center" vertical="center"/>
    </xf>
    <xf numFmtId="41" fontId="38" fillId="0" borderId="96" xfId="1" applyFont="1" applyBorder="1">
      <alignment vertical="center"/>
    </xf>
    <xf numFmtId="181" fontId="38" fillId="0" borderId="96" xfId="0" applyNumberFormat="1" applyFont="1" applyBorder="1">
      <alignment vertical="center"/>
    </xf>
    <xf numFmtId="0" fontId="38" fillId="0" borderId="69" xfId="0" applyFont="1" applyBorder="1">
      <alignment vertical="center"/>
    </xf>
    <xf numFmtId="181" fontId="39" fillId="0" borderId="96" xfId="0" applyNumberFormat="1" applyFont="1" applyFill="1" applyBorder="1">
      <alignment vertical="center"/>
    </xf>
    <xf numFmtId="182" fontId="38" fillId="0" borderId="96" xfId="0" applyNumberFormat="1" applyFont="1" applyBorder="1">
      <alignment vertical="center"/>
    </xf>
    <xf numFmtId="182" fontId="38" fillId="0" borderId="103" xfId="0" applyNumberFormat="1" applyFont="1" applyBorder="1">
      <alignment vertical="center"/>
    </xf>
    <xf numFmtId="41" fontId="38" fillId="42" borderId="96" xfId="1" applyFont="1" applyFill="1" applyBorder="1">
      <alignment vertical="center"/>
    </xf>
    <xf numFmtId="181" fontId="39" fillId="42" borderId="96" xfId="0" applyNumberFormat="1" applyFont="1" applyFill="1" applyBorder="1">
      <alignment vertical="center"/>
    </xf>
    <xf numFmtId="183" fontId="38" fillId="0" borderId="96" xfId="0" applyNumberFormat="1" applyFont="1" applyBorder="1">
      <alignment vertical="center"/>
    </xf>
    <xf numFmtId="0" fontId="38" fillId="0" borderId="96" xfId="0" applyFont="1" applyBorder="1">
      <alignment vertical="center"/>
    </xf>
    <xf numFmtId="185" fontId="38" fillId="42" borderId="104" xfId="0" applyNumberFormat="1" applyFont="1" applyFill="1" applyBorder="1">
      <alignment vertical="center"/>
    </xf>
    <xf numFmtId="0" fontId="0" fillId="39" borderId="57" xfId="0" applyFill="1" applyBorder="1">
      <alignment vertical="center"/>
    </xf>
    <xf numFmtId="0" fontId="0" fillId="39" borderId="105" xfId="0" applyFill="1" applyBorder="1">
      <alignment vertical="center"/>
    </xf>
    <xf numFmtId="0" fontId="36" fillId="39" borderId="106" xfId="3186" applyFont="1" applyFill="1" applyBorder="1" applyAlignment="1">
      <alignment horizontal="center" vertical="center"/>
    </xf>
    <xf numFmtId="41" fontId="45" fillId="39" borderId="105" xfId="0" applyNumberFormat="1" applyFont="1" applyFill="1" applyBorder="1">
      <alignment vertical="center"/>
    </xf>
    <xf numFmtId="181" fontId="45" fillId="39" borderId="105" xfId="0" applyNumberFormat="1" applyFont="1" applyFill="1" applyBorder="1">
      <alignment vertical="center"/>
    </xf>
    <xf numFmtId="0" fontId="45" fillId="39" borderId="105" xfId="0" applyFont="1" applyFill="1" applyBorder="1">
      <alignment vertical="center"/>
    </xf>
    <xf numFmtId="0" fontId="38" fillId="39" borderId="105" xfId="0" applyFont="1" applyFill="1" applyBorder="1">
      <alignment vertical="center"/>
    </xf>
    <xf numFmtId="0" fontId="38" fillId="39" borderId="107" xfId="0" applyFont="1" applyFill="1" applyBorder="1">
      <alignment vertical="center"/>
    </xf>
    <xf numFmtId="0" fontId="38" fillId="39" borderId="108" xfId="0" applyFont="1" applyFill="1" applyBorder="1">
      <alignment vertical="center"/>
    </xf>
    <xf numFmtId="0" fontId="36" fillId="40" borderId="57" xfId="3186" applyFont="1" applyFill="1" applyBorder="1" applyAlignment="1">
      <alignment horizontal="center" vertical="center"/>
    </xf>
    <xf numFmtId="41" fontId="45" fillId="40" borderId="105" xfId="0" applyNumberFormat="1" applyFont="1" applyFill="1" applyBorder="1">
      <alignment vertical="center"/>
    </xf>
    <xf numFmtId="0" fontId="45" fillId="40" borderId="105" xfId="0" applyFont="1" applyFill="1" applyBorder="1">
      <alignment vertical="center"/>
    </xf>
    <xf numFmtId="181" fontId="45" fillId="40" borderId="105" xfId="0" applyNumberFormat="1" applyFont="1" applyFill="1" applyBorder="1">
      <alignment vertical="center"/>
    </xf>
    <xf numFmtId="41" fontId="38" fillId="40" borderId="105" xfId="1" applyFont="1" applyFill="1" applyBorder="1">
      <alignment vertical="center"/>
    </xf>
    <xf numFmtId="0" fontId="45" fillId="40" borderId="107" xfId="0" applyFont="1" applyFill="1" applyBorder="1">
      <alignment vertical="center"/>
    </xf>
    <xf numFmtId="41" fontId="33" fillId="0" borderId="0" xfId="1" applyFont="1" applyFill="1" applyBorder="1" applyAlignment="1">
      <alignment vertical="center"/>
    </xf>
    <xf numFmtId="0" fontId="46" fillId="0" borderId="109" xfId="0" applyFont="1" applyBorder="1" applyAlignment="1">
      <alignment horizontal="left" vertical="center"/>
    </xf>
    <xf numFmtId="41" fontId="33" fillId="0" borderId="0" xfId="1" applyFont="1" applyFill="1" applyBorder="1" applyAlignment="1">
      <alignment horizontal="center" vertical="center"/>
    </xf>
    <xf numFmtId="41" fontId="33" fillId="0" borderId="0" xfId="1" applyFont="1" applyFill="1" applyBorder="1" applyAlignment="1">
      <alignment horizontal="center" vertical="center" wrapText="1"/>
    </xf>
    <xf numFmtId="0" fontId="44" fillId="50" borderId="59" xfId="3186" applyFont="1" applyFill="1" applyBorder="1" applyAlignment="1">
      <alignment horizontal="center" vertical="center"/>
    </xf>
    <xf numFmtId="41" fontId="37" fillId="0" borderId="63" xfId="1" applyFont="1" applyBorder="1" applyAlignment="1">
      <alignment horizontal="center" vertical="center"/>
    </xf>
    <xf numFmtId="176" fontId="38" fillId="0" borderId="63" xfId="1" applyNumberFormat="1" applyFont="1" applyBorder="1">
      <alignment vertical="center"/>
    </xf>
    <xf numFmtId="185" fontId="38" fillId="0" borderId="63" xfId="0" applyNumberFormat="1" applyFont="1" applyBorder="1">
      <alignment vertical="center"/>
    </xf>
    <xf numFmtId="183" fontId="38" fillId="0" borderId="63" xfId="1" applyNumberFormat="1" applyFont="1" applyBorder="1">
      <alignment vertical="center"/>
    </xf>
    <xf numFmtId="181" fontId="39" fillId="0" borderId="98" xfId="0" applyNumberFormat="1" applyFont="1" applyFill="1" applyBorder="1">
      <alignment vertical="center"/>
    </xf>
    <xf numFmtId="0" fontId="38" fillId="0" borderId="0" xfId="0" applyFont="1" applyBorder="1">
      <alignment vertical="center"/>
    </xf>
    <xf numFmtId="0" fontId="36" fillId="50" borderId="61" xfId="3186" applyFont="1" applyFill="1" applyBorder="1" applyAlignment="1">
      <alignment horizontal="center" vertical="center"/>
    </xf>
    <xf numFmtId="176" fontId="38" fillId="0" borderId="80" xfId="1" applyNumberFormat="1" applyFont="1" applyBorder="1">
      <alignment vertical="center"/>
    </xf>
    <xf numFmtId="185" fontId="38" fillId="0" borderId="80" xfId="0" applyNumberFormat="1" applyFont="1" applyBorder="1">
      <alignment vertical="center"/>
    </xf>
    <xf numFmtId="183" fontId="38" fillId="0" borderId="80" xfId="1" applyNumberFormat="1" applyFont="1" applyBorder="1">
      <alignment vertical="center"/>
    </xf>
    <xf numFmtId="181" fontId="39" fillId="0" borderId="84" xfId="0" applyNumberFormat="1" applyFont="1" applyFill="1" applyBorder="1">
      <alignment vertical="center"/>
    </xf>
    <xf numFmtId="0" fontId="44" fillId="50" borderId="61" xfId="3186" applyFont="1" applyFill="1" applyBorder="1" applyAlignment="1">
      <alignment horizontal="center" vertical="center"/>
    </xf>
    <xf numFmtId="0" fontId="36" fillId="50" borderId="62" xfId="3186" applyFont="1" applyFill="1" applyBorder="1" applyAlignment="1">
      <alignment horizontal="center" vertical="center"/>
    </xf>
    <xf numFmtId="41" fontId="37" fillId="0" borderId="92" xfId="1" applyFont="1" applyBorder="1" applyAlignment="1">
      <alignment horizontal="center" vertical="center"/>
    </xf>
    <xf numFmtId="176" fontId="38" fillId="0" borderId="92" xfId="1" applyNumberFormat="1" applyFont="1" applyBorder="1">
      <alignment vertical="center"/>
    </xf>
    <xf numFmtId="185" fontId="38" fillId="0" borderId="92" xfId="0" applyNumberFormat="1" applyFont="1" applyBorder="1">
      <alignment vertical="center"/>
    </xf>
    <xf numFmtId="183" fontId="38" fillId="0" borderId="92" xfId="1" applyNumberFormat="1" applyFont="1" applyBorder="1">
      <alignment vertical="center"/>
    </xf>
    <xf numFmtId="181" fontId="39" fillId="0" borderId="97" xfId="0" applyNumberFormat="1" applyFont="1" applyFill="1" applyBorder="1">
      <alignment vertical="center"/>
    </xf>
    <xf numFmtId="0" fontId="36" fillId="36" borderId="59" xfId="3186" applyFont="1" applyFill="1" applyBorder="1" applyAlignment="1">
      <alignment horizontal="center" vertical="center"/>
    </xf>
    <xf numFmtId="0" fontId="36" fillId="36" borderId="61" xfId="3186" applyFont="1" applyFill="1" applyBorder="1" applyAlignment="1">
      <alignment horizontal="center" vertical="center"/>
    </xf>
    <xf numFmtId="0" fontId="36" fillId="40" borderId="62" xfId="3186" applyFont="1" applyFill="1" applyBorder="1" applyAlignment="1">
      <alignment horizontal="center" vertical="center"/>
    </xf>
    <xf numFmtId="41" fontId="45" fillId="40" borderId="92" xfId="0" applyNumberFormat="1" applyFont="1" applyFill="1" applyBorder="1">
      <alignment vertical="center"/>
    </xf>
    <xf numFmtId="0" fontId="45" fillId="40" borderId="92" xfId="0" applyFont="1" applyFill="1" applyBorder="1">
      <alignment vertical="center"/>
    </xf>
    <xf numFmtId="181" fontId="45" fillId="40" borderId="92" xfId="0" applyNumberFormat="1" applyFont="1" applyFill="1" applyBorder="1">
      <alignment vertical="center"/>
    </xf>
    <xf numFmtId="41" fontId="38" fillId="40" borderId="92" xfId="1" applyFont="1" applyFill="1" applyBorder="1">
      <alignment vertical="center"/>
    </xf>
    <xf numFmtId="181" fontId="45" fillId="40" borderId="97" xfId="0" applyNumberFormat="1" applyFont="1" applyFill="1" applyBorder="1">
      <alignment vertical="center"/>
    </xf>
    <xf numFmtId="0" fontId="45" fillId="40" borderId="0" xfId="0" applyFont="1" applyFill="1" applyBorder="1">
      <alignment vertical="center"/>
    </xf>
    <xf numFmtId="41" fontId="49" fillId="40" borderId="66" xfId="1" applyFont="1" applyFill="1" applyBorder="1" applyAlignment="1">
      <alignment horizontal="center" vertical="center"/>
    </xf>
    <xf numFmtId="41" fontId="49" fillId="40" borderId="92" xfId="1" applyFont="1" applyFill="1" applyBorder="1" applyAlignment="1">
      <alignment horizontal="center" vertical="center"/>
    </xf>
    <xf numFmtId="41" fontId="49" fillId="40" borderId="100" xfId="1" applyFont="1" applyFill="1" applyBorder="1" applyAlignment="1">
      <alignment horizontal="center" vertical="center"/>
    </xf>
    <xf numFmtId="41" fontId="49" fillId="40" borderId="62" xfId="1" applyFont="1" applyFill="1" applyBorder="1" applyAlignment="1">
      <alignment horizontal="center" vertical="center" wrapText="1"/>
    </xf>
    <xf numFmtId="41" fontId="49" fillId="40" borderId="100" xfId="1" applyFont="1" applyFill="1" applyBorder="1" applyAlignment="1">
      <alignment horizontal="center" vertical="center" wrapText="1"/>
    </xf>
    <xf numFmtId="41" fontId="49" fillId="40" borderId="92" xfId="1" applyFont="1" applyFill="1" applyBorder="1" applyAlignment="1">
      <alignment horizontal="center" vertical="center" wrapText="1"/>
    </xf>
    <xf numFmtId="41" fontId="49" fillId="40" borderId="97" xfId="1" applyFont="1" applyFill="1" applyBorder="1" applyAlignment="1">
      <alignment horizontal="center" vertical="center" wrapText="1"/>
    </xf>
    <xf numFmtId="0" fontId="40" fillId="44" borderId="114" xfId="0" applyFont="1" applyFill="1" applyBorder="1" applyAlignment="1">
      <alignment horizontal="left" vertical="center" wrapText="1"/>
    </xf>
    <xf numFmtId="0" fontId="51" fillId="44" borderId="77" xfId="0" applyFont="1" applyFill="1" applyBorder="1" applyAlignment="1">
      <alignment horizontal="center" vertical="center"/>
    </xf>
    <xf numFmtId="0" fontId="52" fillId="44" borderId="115" xfId="0" applyFont="1" applyFill="1" applyBorder="1" applyAlignment="1">
      <alignment horizontal="center" wrapText="1"/>
    </xf>
    <xf numFmtId="0" fontId="52" fillId="44" borderId="114" xfId="0" applyFont="1" applyFill="1" applyBorder="1" applyAlignment="1">
      <alignment horizontal="left" vertical="center" wrapText="1"/>
    </xf>
    <xf numFmtId="0" fontId="53" fillId="44" borderId="77" xfId="0" applyFont="1" applyFill="1" applyBorder="1" applyAlignment="1">
      <alignment horizontal="center" vertical="center"/>
    </xf>
    <xf numFmtId="0" fontId="36" fillId="34" borderId="60" xfId="3186" applyFont="1" applyFill="1" applyBorder="1" applyAlignment="1">
      <alignment horizontal="center" vertical="center"/>
    </xf>
    <xf numFmtId="41" fontId="54" fillId="0" borderId="82" xfId="1" applyFont="1" applyBorder="1" applyAlignment="1">
      <alignment horizontal="center" vertical="center"/>
    </xf>
    <xf numFmtId="41" fontId="55" fillId="0" borderId="82" xfId="1" applyFont="1" applyBorder="1">
      <alignment vertical="center"/>
    </xf>
    <xf numFmtId="186" fontId="56" fillId="0" borderId="82" xfId="0" applyNumberFormat="1" applyFont="1" applyBorder="1">
      <alignment vertical="center"/>
    </xf>
    <xf numFmtId="41" fontId="55" fillId="0" borderId="83" xfId="1" applyFont="1" applyBorder="1">
      <alignment vertical="center"/>
    </xf>
    <xf numFmtId="41" fontId="55" fillId="0" borderId="60" xfId="1" applyFont="1" applyBorder="1">
      <alignment vertical="center"/>
    </xf>
    <xf numFmtId="186" fontId="55" fillId="0" borderId="83" xfId="0" applyNumberFormat="1" applyFont="1" applyBorder="1">
      <alignment vertical="center"/>
    </xf>
    <xf numFmtId="0" fontId="55" fillId="0" borderId="82" xfId="0" applyFont="1" applyBorder="1">
      <alignment vertical="center"/>
    </xf>
    <xf numFmtId="0" fontId="55" fillId="0" borderId="102" xfId="0" applyFont="1" applyBorder="1">
      <alignment vertical="center"/>
    </xf>
    <xf numFmtId="185" fontId="55" fillId="0" borderId="101" xfId="0" applyNumberFormat="1" applyFont="1" applyBorder="1">
      <alignment vertical="center"/>
    </xf>
    <xf numFmtId="0" fontId="55" fillId="0" borderId="102" xfId="0" applyFont="1" applyBorder="1" applyAlignment="1">
      <alignment horizontal="right" vertical="center"/>
    </xf>
    <xf numFmtId="3" fontId="42" fillId="0" borderId="89" xfId="0" applyNumberFormat="1" applyFont="1" applyBorder="1" applyAlignment="1">
      <alignment horizontal="right" vertical="center"/>
    </xf>
    <xf numFmtId="0" fontId="36" fillId="34" borderId="61" xfId="3186" applyFont="1" applyFill="1" applyBorder="1" applyAlignment="1">
      <alignment horizontal="center" vertical="center"/>
    </xf>
    <xf numFmtId="41" fontId="54" fillId="0" borderId="80" xfId="1" applyFont="1" applyBorder="1" applyAlignment="1">
      <alignment horizontal="center" vertical="center"/>
    </xf>
    <xf numFmtId="41" fontId="55" fillId="0" borderId="80" xfId="1" applyFont="1" applyBorder="1">
      <alignment vertical="center"/>
    </xf>
    <xf numFmtId="186" fontId="56" fillId="0" borderId="80" xfId="0" applyNumberFormat="1" applyFont="1" applyBorder="1">
      <alignment vertical="center"/>
    </xf>
    <xf numFmtId="41" fontId="55" fillId="0" borderId="61" xfId="1" applyFont="1" applyBorder="1">
      <alignment vertical="center"/>
    </xf>
    <xf numFmtId="186" fontId="55" fillId="0" borderId="99" xfId="0" applyNumberFormat="1" applyFont="1" applyBorder="1">
      <alignment vertical="center"/>
    </xf>
    <xf numFmtId="0" fontId="55" fillId="0" borderId="84" xfId="0" applyFont="1" applyBorder="1">
      <alignment vertical="center"/>
    </xf>
    <xf numFmtId="185" fontId="55" fillId="0" borderId="81" xfId="0" applyNumberFormat="1" applyFont="1" applyBorder="1">
      <alignment vertical="center"/>
    </xf>
    <xf numFmtId="0" fontId="55" fillId="0" borderId="84" xfId="0" applyFont="1" applyBorder="1" applyAlignment="1">
      <alignment horizontal="right" vertical="center"/>
    </xf>
    <xf numFmtId="0" fontId="44" fillId="34" borderId="61" xfId="3186" applyFont="1" applyFill="1" applyBorder="1" applyAlignment="1">
      <alignment horizontal="center" vertical="center"/>
    </xf>
    <xf numFmtId="3" fontId="42" fillId="47" borderId="89" xfId="0" applyNumberFormat="1" applyFont="1" applyFill="1" applyBorder="1" applyAlignment="1">
      <alignment horizontal="right" vertical="center"/>
    </xf>
    <xf numFmtId="0" fontId="36" fillId="34" borderId="68" xfId="3186" applyFont="1" applyFill="1" applyBorder="1" applyAlignment="1">
      <alignment horizontal="center" vertical="center"/>
    </xf>
    <xf numFmtId="41" fontId="55" fillId="40" borderId="92" xfId="0" applyNumberFormat="1" applyFont="1" applyFill="1" applyBorder="1">
      <alignment vertical="center"/>
    </xf>
    <xf numFmtId="41" fontId="55" fillId="40" borderId="92" xfId="1" applyFont="1" applyFill="1" applyBorder="1">
      <alignment vertical="center"/>
    </xf>
    <xf numFmtId="186" fontId="55" fillId="40" borderId="92" xfId="0" applyNumberFormat="1" applyFont="1" applyFill="1" applyBorder="1">
      <alignment vertical="center"/>
    </xf>
    <xf numFmtId="41" fontId="55" fillId="40" borderId="100" xfId="1" applyFont="1" applyFill="1" applyBorder="1">
      <alignment vertical="center"/>
    </xf>
    <xf numFmtId="41" fontId="55" fillId="40" borderId="62" xfId="1" applyFont="1" applyFill="1" applyBorder="1">
      <alignment vertical="center"/>
    </xf>
    <xf numFmtId="0" fontId="55" fillId="40" borderId="92" xfId="0" applyFont="1" applyFill="1" applyBorder="1">
      <alignment vertical="center"/>
    </xf>
    <xf numFmtId="0" fontId="55" fillId="40" borderId="97" xfId="0" applyFont="1" applyFill="1" applyBorder="1">
      <alignment vertical="center"/>
    </xf>
    <xf numFmtId="0" fontId="55" fillId="40" borderId="93" xfId="0" applyFont="1" applyFill="1" applyBorder="1">
      <alignment vertical="center"/>
    </xf>
    <xf numFmtId="0" fontId="40" fillId="43" borderId="114" xfId="0" applyFont="1" applyFill="1" applyBorder="1" applyAlignment="1">
      <alignment horizontal="left" vertical="center" wrapText="1"/>
    </xf>
    <xf numFmtId="0" fontId="51" fillId="43" borderId="77" xfId="0" applyFont="1" applyFill="1" applyBorder="1" applyAlignment="1">
      <alignment horizontal="center" vertical="center"/>
    </xf>
    <xf numFmtId="0" fontId="40" fillId="43" borderId="115" xfId="0" applyFont="1" applyFill="1" applyBorder="1" applyAlignment="1">
      <alignment horizontal="center" wrapText="1"/>
    </xf>
    <xf numFmtId="0" fontId="36" fillId="34" borderId="59" xfId="3186" applyFont="1" applyFill="1" applyBorder="1" applyAlignment="1">
      <alignment horizontal="center" vertical="center"/>
    </xf>
    <xf numFmtId="41" fontId="57" fillId="0" borderId="73" xfId="1" applyNumberFormat="1" applyFont="1" applyFill="1" applyBorder="1" applyAlignment="1" applyProtection="1">
      <alignment horizontal="center" vertical="center"/>
    </xf>
    <xf numFmtId="187" fontId="58" fillId="0" borderId="63" xfId="1" applyNumberFormat="1" applyFont="1" applyFill="1" applyBorder="1" applyAlignment="1" applyProtection="1">
      <alignment horizontal="center" vertical="center"/>
    </xf>
    <xf numFmtId="179" fontId="58" fillId="0" borderId="73" xfId="1" applyNumberFormat="1" applyFont="1" applyFill="1" applyBorder="1" applyAlignment="1" applyProtection="1">
      <alignment horizontal="center" vertical="center"/>
    </xf>
    <xf numFmtId="179" fontId="57" fillId="0" borderId="73" xfId="1" applyNumberFormat="1" applyFont="1" applyFill="1" applyBorder="1" applyAlignment="1" applyProtection="1">
      <alignment horizontal="center" vertical="center"/>
    </xf>
    <xf numFmtId="187" fontId="57" fillId="0" borderId="65" xfId="1" applyNumberFormat="1" applyFont="1" applyFill="1" applyBorder="1" applyAlignment="1" applyProtection="1">
      <alignment horizontal="center" vertical="center"/>
    </xf>
    <xf numFmtId="188" fontId="57" fillId="0" borderId="73" xfId="1" applyNumberFormat="1" applyFont="1" applyFill="1" applyBorder="1" applyAlignment="1" applyProtection="1">
      <alignment horizontal="center" vertical="center"/>
    </xf>
    <xf numFmtId="188" fontId="57" fillId="0" borderId="63" xfId="1" applyNumberFormat="1" applyFont="1" applyFill="1" applyBorder="1" applyAlignment="1" applyProtection="1">
      <alignment horizontal="center" vertical="center"/>
    </xf>
    <xf numFmtId="178" fontId="57" fillId="0" borderId="64" xfId="1" applyNumberFormat="1" applyFont="1" applyFill="1" applyBorder="1" applyAlignment="1" applyProtection="1">
      <alignment horizontal="center" vertical="center"/>
    </xf>
    <xf numFmtId="178" fontId="37" fillId="0" borderId="64" xfId="1" applyNumberFormat="1" applyFont="1" applyFill="1" applyBorder="1" applyAlignment="1" applyProtection="1">
      <alignment horizontal="center" vertical="center"/>
    </xf>
    <xf numFmtId="41" fontId="37" fillId="0" borderId="98" xfId="1" applyNumberFormat="1" applyFont="1" applyFill="1" applyBorder="1" applyAlignment="1" applyProtection="1">
      <alignment horizontal="center" vertical="center"/>
    </xf>
    <xf numFmtId="0" fontId="40" fillId="43" borderId="77" xfId="0" applyFont="1" applyFill="1" applyBorder="1" applyAlignment="1">
      <alignment horizontal="center" wrapText="1"/>
    </xf>
    <xf numFmtId="41" fontId="57" fillId="0" borderId="80" xfId="1" applyNumberFormat="1" applyFont="1" applyFill="1" applyBorder="1" applyAlignment="1" applyProtection="1">
      <alignment horizontal="center" vertical="center"/>
    </xf>
    <xf numFmtId="187" fontId="58" fillId="0" borderId="82" xfId="1" applyNumberFormat="1" applyFont="1" applyFill="1" applyBorder="1" applyAlignment="1" applyProtection="1">
      <alignment horizontal="center" vertical="center"/>
    </xf>
    <xf numFmtId="179" fontId="58" fillId="0" borderId="80" xfId="1" applyNumberFormat="1" applyFont="1" applyFill="1" applyBorder="1" applyAlignment="1" applyProtection="1">
      <alignment horizontal="center" vertical="center"/>
    </xf>
    <xf numFmtId="179" fontId="57" fillId="0" borderId="80" xfId="1" applyNumberFormat="1" applyFont="1" applyFill="1" applyBorder="1" applyAlignment="1" applyProtection="1">
      <alignment horizontal="center" vertical="center"/>
    </xf>
    <xf numFmtId="187" fontId="57" fillId="0" borderId="83" xfId="1" applyNumberFormat="1" applyFont="1" applyFill="1" applyBorder="1" applyAlignment="1" applyProtection="1">
      <alignment horizontal="center" vertical="center"/>
    </xf>
    <xf numFmtId="188" fontId="57" fillId="0" borderId="80" xfId="1" applyNumberFormat="1" applyFont="1" applyFill="1" applyBorder="1" applyAlignment="1" applyProtection="1">
      <alignment horizontal="center" vertical="center"/>
    </xf>
    <xf numFmtId="188" fontId="57" fillId="0" borderId="82" xfId="1" applyNumberFormat="1" applyFont="1" applyFill="1" applyBorder="1" applyAlignment="1" applyProtection="1">
      <alignment horizontal="center" vertical="center"/>
    </xf>
    <xf numFmtId="178" fontId="57" fillId="0" borderId="101" xfId="1" applyNumberFormat="1" applyFont="1" applyFill="1" applyBorder="1" applyAlignment="1" applyProtection="1">
      <alignment horizontal="center" vertical="center"/>
    </xf>
    <xf numFmtId="178" fontId="37" fillId="0" borderId="101" xfId="1" applyNumberFormat="1" applyFont="1" applyFill="1" applyBorder="1" applyAlignment="1" applyProtection="1">
      <alignment horizontal="center" vertical="center"/>
    </xf>
    <xf numFmtId="41" fontId="37" fillId="0" borderId="102" xfId="1" applyNumberFormat="1" applyFont="1" applyFill="1" applyBorder="1" applyAlignment="1" applyProtection="1">
      <alignment horizontal="center" vertical="center"/>
    </xf>
    <xf numFmtId="189" fontId="42" fillId="0" borderId="89" xfId="0" applyNumberFormat="1" applyFont="1" applyBorder="1" applyAlignment="1">
      <alignment horizontal="right" vertical="center"/>
    </xf>
    <xf numFmtId="189" fontId="42" fillId="47" borderId="89" xfId="0" applyNumberFormat="1" applyFont="1" applyFill="1" applyBorder="1" applyAlignment="1">
      <alignment horizontal="right" vertical="center"/>
    </xf>
    <xf numFmtId="41" fontId="57" fillId="0" borderId="82" xfId="1" applyNumberFormat="1" applyFont="1" applyFill="1" applyBorder="1" applyAlignment="1" applyProtection="1">
      <alignment horizontal="center" vertical="center"/>
    </xf>
    <xf numFmtId="179" fontId="57" fillId="0" borderId="96" xfId="1" applyNumberFormat="1" applyFont="1" applyFill="1" applyBorder="1" applyAlignment="1" applyProtection="1">
      <alignment horizontal="center" vertical="center"/>
    </xf>
    <xf numFmtId="190" fontId="37" fillId="0" borderId="69" xfId="1" applyNumberFormat="1" applyFont="1" applyBorder="1" applyAlignment="1">
      <alignment horizontal="center" vertical="center"/>
    </xf>
    <xf numFmtId="190" fontId="38" fillId="0" borderId="69" xfId="0" applyNumberFormat="1" applyFont="1" applyBorder="1">
      <alignment vertical="center"/>
    </xf>
    <xf numFmtId="187" fontId="58" fillId="0" borderId="96" xfId="1" applyNumberFormat="1" applyFont="1" applyFill="1" applyBorder="1" applyAlignment="1" applyProtection="1">
      <alignment horizontal="center" vertical="center"/>
    </xf>
    <xf numFmtId="0" fontId="38" fillId="0" borderId="71" xfId="0" applyFont="1" applyBorder="1">
      <alignment vertical="center"/>
    </xf>
    <xf numFmtId="0" fontId="38" fillId="0" borderId="70" xfId="0" applyFont="1" applyBorder="1">
      <alignment vertical="center"/>
    </xf>
    <xf numFmtId="0" fontId="38" fillId="0" borderId="72" xfId="0" applyFont="1" applyBorder="1">
      <alignment vertical="center"/>
    </xf>
    <xf numFmtId="41" fontId="38" fillId="40" borderId="92" xfId="0" applyNumberFormat="1" applyFont="1" applyFill="1" applyBorder="1">
      <alignment vertical="center"/>
    </xf>
    <xf numFmtId="181" fontId="38" fillId="40" borderId="92" xfId="0" applyNumberFormat="1" applyFont="1" applyFill="1" applyBorder="1">
      <alignment vertical="center"/>
    </xf>
    <xf numFmtId="180" fontId="38" fillId="40" borderId="92" xfId="0" applyNumberFormat="1" applyFont="1" applyFill="1" applyBorder="1">
      <alignment vertical="center"/>
    </xf>
    <xf numFmtId="179" fontId="38" fillId="40" borderId="92" xfId="0" applyNumberFormat="1" applyFont="1" applyFill="1" applyBorder="1">
      <alignment vertical="center"/>
    </xf>
    <xf numFmtId="0" fontId="38" fillId="40" borderId="92" xfId="0" applyFont="1" applyFill="1" applyBorder="1">
      <alignment vertical="center"/>
    </xf>
    <xf numFmtId="0" fontId="38" fillId="40" borderId="93" xfId="0" applyFont="1" applyFill="1" applyBorder="1">
      <alignment vertical="center"/>
    </xf>
    <xf numFmtId="0" fontId="38" fillId="40" borderId="97" xfId="0" applyFont="1" applyFill="1" applyBorder="1">
      <alignment vertical="center"/>
    </xf>
    <xf numFmtId="0" fontId="36" fillId="0" borderId="0" xfId="3186" applyFont="1" applyFill="1" applyBorder="1" applyAlignment="1">
      <alignment vertical="center"/>
    </xf>
    <xf numFmtId="189" fontId="43" fillId="0" borderId="89" xfId="0" applyNumberFormat="1" applyFont="1" applyBorder="1" applyAlignment="1">
      <alignment horizontal="right" vertical="center"/>
    </xf>
    <xf numFmtId="0" fontId="41" fillId="0" borderId="0" xfId="0" applyFont="1" applyFill="1" applyBorder="1" applyAlignment="1">
      <alignment horizontal="left" vertical="center" wrapText="1"/>
    </xf>
    <xf numFmtId="41" fontId="0" fillId="0" borderId="0" xfId="1" applyFont="1" applyAlignment="1">
      <alignment horizontal="center" vertical="center"/>
    </xf>
    <xf numFmtId="181" fontId="0" fillId="0" borderId="0" xfId="0" applyNumberFormat="1">
      <alignment vertical="center"/>
    </xf>
    <xf numFmtId="186" fontId="0" fillId="51" borderId="0" xfId="0" applyNumberFormat="1" applyFill="1">
      <alignment vertical="center"/>
    </xf>
    <xf numFmtId="0" fontId="26" fillId="52" borderId="69" xfId="0" applyFont="1" applyFill="1" applyBorder="1" applyAlignment="1">
      <alignment horizontal="center" vertical="center"/>
    </xf>
    <xf numFmtId="191" fontId="0" fillId="0" borderId="0" xfId="0" applyNumberFormat="1">
      <alignment vertical="center"/>
    </xf>
    <xf numFmtId="0" fontId="22" fillId="37" borderId="0" xfId="0" applyFont="1" applyFill="1" applyAlignment="1">
      <alignment horizontal="center" vertical="center"/>
    </xf>
    <xf numFmtId="0" fontId="22" fillId="53" borderId="0" xfId="0" applyFont="1" applyFill="1" applyAlignment="1">
      <alignment horizontal="center" vertical="center"/>
    </xf>
    <xf numFmtId="41" fontId="22" fillId="53" borderId="0" xfId="1" applyFont="1" applyFill="1" applyAlignment="1">
      <alignment horizontal="center" vertical="center"/>
    </xf>
    <xf numFmtId="0" fontId="22" fillId="35" borderId="0" xfId="0" applyFont="1" applyFill="1" applyAlignment="1">
      <alignment horizontal="center" vertical="center"/>
    </xf>
    <xf numFmtId="41" fontId="22" fillId="35" borderId="0" xfId="1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60" fillId="53" borderId="0" xfId="0" applyFont="1" applyFill="1" applyAlignment="1">
      <alignment horizontal="center" vertical="center"/>
    </xf>
    <xf numFmtId="41" fontId="60" fillId="53" borderId="0" xfId="0" applyNumberFormat="1" applyFont="1" applyFill="1" applyAlignment="1">
      <alignment horizontal="center" vertical="center"/>
    </xf>
    <xf numFmtId="0" fontId="60" fillId="35" borderId="0" xfId="0" applyFont="1" applyFill="1" applyAlignment="1">
      <alignment horizontal="center" vertical="center"/>
    </xf>
    <xf numFmtId="41" fontId="60" fillId="35" borderId="0" xfId="0" applyNumberFormat="1" applyFont="1" applyFill="1" applyAlignment="1">
      <alignment horizontal="center" vertical="center"/>
    </xf>
    <xf numFmtId="0" fontId="22" fillId="54" borderId="0" xfId="0" applyFont="1" applyFill="1" applyAlignment="1">
      <alignment vertical="center"/>
    </xf>
    <xf numFmtId="0" fontId="22" fillId="0" borderId="0" xfId="0" applyFont="1" applyAlignment="1">
      <alignment vertical="center"/>
    </xf>
    <xf numFmtId="0" fontId="0" fillId="54" borderId="0" xfId="0" applyFill="1" applyAlignment="1">
      <alignment vertical="center"/>
    </xf>
    <xf numFmtId="0" fontId="0" fillId="0" borderId="0" xfId="0" applyAlignment="1">
      <alignment vertical="center"/>
    </xf>
    <xf numFmtId="0" fontId="26" fillId="52" borderId="0" xfId="0" applyFont="1" applyFill="1" applyBorder="1" applyAlignment="1">
      <alignment horizontal="center" vertical="center" wrapText="1"/>
    </xf>
    <xf numFmtId="0" fontId="26" fillId="52" borderId="0" xfId="0" applyFont="1" applyFill="1" applyBorder="1" applyAlignment="1">
      <alignment horizontal="center" vertical="center"/>
    </xf>
    <xf numFmtId="3" fontId="22" fillId="37" borderId="0" xfId="0" applyNumberFormat="1" applyFont="1" applyFill="1" applyAlignment="1">
      <alignment horizontal="center" vertical="center"/>
    </xf>
    <xf numFmtId="41" fontId="22" fillId="37" borderId="0" xfId="1" applyFont="1" applyFill="1" applyAlignment="1">
      <alignment horizontal="center" vertical="center"/>
    </xf>
    <xf numFmtId="0" fontId="60" fillId="37" borderId="0" xfId="0" applyFont="1" applyFill="1" applyAlignment="1">
      <alignment horizontal="center" vertical="center"/>
    </xf>
    <xf numFmtId="41" fontId="60" fillId="37" borderId="0" xfId="0" applyNumberFormat="1" applyFont="1" applyFill="1" applyAlignment="1">
      <alignment horizontal="center" vertical="center"/>
    </xf>
    <xf numFmtId="0" fontId="0" fillId="37" borderId="0" xfId="0" applyFill="1">
      <alignment vertical="center"/>
    </xf>
    <xf numFmtId="41" fontId="0" fillId="0" borderId="0" xfId="1" applyFont="1" applyBorder="1" applyAlignment="1">
      <alignment horizontal="center" vertical="center"/>
    </xf>
    <xf numFmtId="0" fontId="26" fillId="52" borderId="80" xfId="0" applyFont="1" applyFill="1" applyBorder="1" applyAlignment="1">
      <alignment horizontal="center" vertical="center" wrapText="1"/>
    </xf>
    <xf numFmtId="0" fontId="26" fillId="52" borderId="80" xfId="0" applyFont="1" applyFill="1" applyBorder="1" applyAlignment="1">
      <alignment horizontal="center" vertical="center"/>
    </xf>
    <xf numFmtId="41" fontId="0" fillId="0" borderId="80" xfId="1" applyFont="1" applyBorder="1" applyAlignment="1">
      <alignment horizontal="center" vertical="center"/>
    </xf>
    <xf numFmtId="181" fontId="0" fillId="0" borderId="80" xfId="0" applyNumberFormat="1" applyBorder="1">
      <alignment vertical="center"/>
    </xf>
    <xf numFmtId="186" fontId="0" fillId="51" borderId="80" xfId="0" applyNumberFormat="1" applyFill="1" applyBorder="1" applyAlignment="1">
      <alignment horizontal="center" vertical="center"/>
    </xf>
    <xf numFmtId="41" fontId="0" fillId="0" borderId="80" xfId="1" applyFont="1" applyBorder="1">
      <alignment vertical="center"/>
    </xf>
    <xf numFmtId="186" fontId="0" fillId="51" borderId="80" xfId="0" applyNumberFormat="1" applyFill="1" applyBorder="1">
      <alignment vertical="center"/>
    </xf>
    <xf numFmtId="186" fontId="0" fillId="0" borderId="80" xfId="0" applyNumberFormat="1" applyBorder="1">
      <alignment vertical="center"/>
    </xf>
    <xf numFmtId="180" fontId="0" fillId="0" borderId="80" xfId="0" applyNumberFormat="1" applyBorder="1">
      <alignment vertical="center"/>
    </xf>
    <xf numFmtId="191" fontId="0" fillId="0" borderId="80" xfId="0" applyNumberFormat="1" applyBorder="1">
      <alignment vertical="center"/>
    </xf>
    <xf numFmtId="0" fontId="26" fillId="52" borderId="63" xfId="0" applyFont="1" applyFill="1" applyBorder="1" applyAlignment="1">
      <alignment horizontal="center" vertical="center" wrapText="1"/>
    </xf>
    <xf numFmtId="191" fontId="0" fillId="0" borderId="84" xfId="0" applyNumberFormat="1" applyBorder="1">
      <alignment vertical="center"/>
    </xf>
    <xf numFmtId="41" fontId="0" fillId="0" borderId="92" xfId="1" applyFont="1" applyBorder="1" applyAlignment="1">
      <alignment horizontal="center" vertical="center"/>
    </xf>
    <xf numFmtId="0" fontId="0" fillId="0" borderId="92" xfId="0" applyBorder="1">
      <alignment vertical="center"/>
    </xf>
    <xf numFmtId="0" fontId="0" fillId="0" borderId="92" xfId="0" applyBorder="1" applyAlignment="1">
      <alignment horizontal="center" vertical="center"/>
    </xf>
    <xf numFmtId="41" fontId="0" fillId="0" borderId="92" xfId="1" applyFont="1" applyBorder="1">
      <alignment vertical="center"/>
    </xf>
    <xf numFmtId="0" fontId="0" fillId="0" borderId="97" xfId="0" applyBorder="1">
      <alignment vertical="center"/>
    </xf>
    <xf numFmtId="0" fontId="26" fillId="52" borderId="73" xfId="0" applyFont="1" applyFill="1" applyBorder="1" applyAlignment="1">
      <alignment horizontal="center" vertical="center" wrapText="1"/>
    </xf>
    <xf numFmtId="0" fontId="26" fillId="52" borderId="111" xfId="0" applyFont="1" applyFill="1" applyBorder="1" applyAlignment="1">
      <alignment horizontal="center" vertical="center"/>
    </xf>
    <xf numFmtId="180" fontId="0" fillId="0" borderId="0" xfId="0" applyNumberFormat="1" applyAlignment="1">
      <alignment horizontal="center" vertical="center"/>
    </xf>
    <xf numFmtId="180" fontId="0" fillId="0" borderId="80" xfId="0" applyNumberFormat="1" applyBorder="1" applyAlignment="1">
      <alignment horizontal="center" vertical="center"/>
    </xf>
    <xf numFmtId="181" fontId="0" fillId="0" borderId="82" xfId="0" applyNumberFormat="1" applyBorder="1">
      <alignment vertical="center"/>
    </xf>
    <xf numFmtId="41" fontId="0" fillId="0" borderId="82" xfId="1" applyFont="1" applyBorder="1">
      <alignment vertical="center"/>
    </xf>
    <xf numFmtId="180" fontId="0" fillId="0" borderId="82" xfId="0" applyNumberFormat="1" applyBorder="1" applyAlignment="1">
      <alignment horizontal="center" vertical="center"/>
    </xf>
    <xf numFmtId="191" fontId="0" fillId="0" borderId="82" xfId="0" applyNumberFormat="1" applyBorder="1">
      <alignment vertical="center"/>
    </xf>
    <xf numFmtId="0" fontId="26" fillId="37" borderId="68" xfId="0" applyFont="1" applyFill="1" applyBorder="1" applyAlignment="1">
      <alignment horizontal="center" vertical="center"/>
    </xf>
    <xf numFmtId="181" fontId="0" fillId="0" borderId="69" xfId="0" applyNumberFormat="1" applyBorder="1">
      <alignment vertical="center"/>
    </xf>
    <xf numFmtId="41" fontId="0" fillId="0" borderId="69" xfId="1" applyFont="1" applyBorder="1">
      <alignment vertical="center"/>
    </xf>
    <xf numFmtId="180" fontId="0" fillId="0" borderId="69" xfId="0" applyNumberFormat="1" applyBorder="1" applyAlignment="1">
      <alignment horizontal="center" vertical="center"/>
    </xf>
    <xf numFmtId="191" fontId="0" fillId="0" borderId="69" xfId="0" applyNumberFormat="1" applyBorder="1">
      <alignment vertical="center"/>
    </xf>
    <xf numFmtId="186" fontId="0" fillId="40" borderId="82" xfId="0" applyNumberFormat="1" applyFill="1" applyBorder="1">
      <alignment vertical="center"/>
    </xf>
    <xf numFmtId="186" fontId="0" fillId="40" borderId="80" xfId="0" applyNumberFormat="1" applyFill="1" applyBorder="1">
      <alignment vertical="center"/>
    </xf>
    <xf numFmtId="186" fontId="0" fillId="40" borderId="69" xfId="0" applyNumberFormat="1" applyFill="1" applyBorder="1">
      <alignment vertical="center"/>
    </xf>
    <xf numFmtId="186" fontId="0" fillId="37" borderId="82" xfId="0" applyNumberFormat="1" applyFill="1" applyBorder="1">
      <alignment vertical="center"/>
    </xf>
    <xf numFmtId="186" fontId="0" fillId="37" borderId="80" xfId="0" applyNumberFormat="1" applyFill="1" applyBorder="1">
      <alignment vertical="center"/>
    </xf>
    <xf numFmtId="186" fontId="0" fillId="37" borderId="69" xfId="0" applyNumberFormat="1" applyFill="1" applyBorder="1">
      <alignment vertical="center"/>
    </xf>
    <xf numFmtId="181" fontId="0" fillId="40" borderId="82" xfId="0" applyNumberFormat="1" applyFill="1" applyBorder="1">
      <alignment vertical="center"/>
    </xf>
    <xf numFmtId="181" fontId="0" fillId="40" borderId="80" xfId="0" applyNumberFormat="1" applyFill="1" applyBorder="1">
      <alignment vertical="center"/>
    </xf>
    <xf numFmtId="181" fontId="0" fillId="40" borderId="69" xfId="0" applyNumberFormat="1" applyFill="1" applyBorder="1">
      <alignment vertical="center"/>
    </xf>
    <xf numFmtId="0" fontId="23" fillId="34" borderId="80" xfId="0" applyFont="1" applyFill="1" applyBorder="1" applyAlignment="1">
      <alignment horizontal="center" vertical="center"/>
    </xf>
    <xf numFmtId="41" fontId="23" fillId="34" borderId="80" xfId="1" applyFont="1" applyFill="1" applyBorder="1" applyAlignment="1">
      <alignment horizontal="center" vertical="center" wrapText="1"/>
    </xf>
    <xf numFmtId="41" fontId="61" fillId="0" borderId="80" xfId="1" applyFont="1" applyBorder="1" applyAlignment="1">
      <alignment horizontal="center" vertical="center"/>
    </xf>
    <xf numFmtId="0" fontId="61" fillId="0" borderId="84" xfId="0" applyFont="1" applyBorder="1">
      <alignment vertical="center"/>
    </xf>
    <xf numFmtId="0" fontId="23" fillId="36" borderId="97" xfId="0" applyFont="1" applyFill="1" applyBorder="1">
      <alignment vertical="center"/>
    </xf>
    <xf numFmtId="0" fontId="62" fillId="37" borderId="61" xfId="0" applyFont="1" applyFill="1" applyBorder="1" applyAlignment="1">
      <alignment horizontal="center" vertical="center"/>
    </xf>
    <xf numFmtId="0" fontId="0" fillId="37" borderId="0" xfId="0" applyFill="1" applyAlignment="1">
      <alignment horizontal="center" vertical="center"/>
    </xf>
    <xf numFmtId="180" fontId="0" fillId="37" borderId="0" xfId="0" applyNumberFormat="1" applyFill="1">
      <alignment vertical="center"/>
    </xf>
    <xf numFmtId="0" fontId="23" fillId="36" borderId="62" xfId="2" applyFont="1" applyFill="1" applyBorder="1" applyAlignment="1">
      <alignment horizontal="center" vertical="center"/>
    </xf>
    <xf numFmtId="0" fontId="26" fillId="53" borderId="80" xfId="0" applyFont="1" applyFill="1" applyBorder="1" applyAlignment="1">
      <alignment horizontal="center" vertical="center" wrapText="1"/>
    </xf>
    <xf numFmtId="0" fontId="26" fillId="50" borderId="80" xfId="0" applyFont="1" applyFill="1" applyBorder="1" applyAlignment="1">
      <alignment horizontal="center" vertical="center" wrapText="1"/>
    </xf>
    <xf numFmtId="0" fontId="26" fillId="35" borderId="80" xfId="0" applyFont="1" applyFill="1" applyBorder="1" applyAlignment="1">
      <alignment horizontal="center" vertical="center"/>
    </xf>
    <xf numFmtId="0" fontId="26" fillId="35" borderId="80" xfId="0" applyFont="1" applyFill="1" applyBorder="1" applyAlignment="1">
      <alignment horizontal="center" vertical="center" wrapText="1"/>
    </xf>
    <xf numFmtId="0" fontId="22" fillId="54" borderId="0" xfId="0" applyFont="1" applyFill="1" applyAlignment="1">
      <alignment horizontal="center" vertical="center"/>
    </xf>
    <xf numFmtId="41" fontId="22" fillId="54" borderId="0" xfId="1" applyFont="1" applyFill="1" applyAlignment="1">
      <alignment horizontal="center" vertical="center"/>
    </xf>
    <xf numFmtId="41" fontId="22" fillId="0" borderId="0" xfId="1" applyFont="1" applyAlignment="1">
      <alignment horizontal="center" vertical="center"/>
    </xf>
    <xf numFmtId="41" fontId="0" fillId="54" borderId="0" xfId="1" applyFont="1" applyFill="1" applyAlignment="1">
      <alignment horizontal="center" vertical="center"/>
    </xf>
    <xf numFmtId="41" fontId="0" fillId="44" borderId="0" xfId="1" applyFont="1" applyFill="1" applyAlignment="1">
      <alignment horizontal="center" vertical="center"/>
    </xf>
    <xf numFmtId="41" fontId="0" fillId="37" borderId="0" xfId="1" applyFont="1" applyFill="1" applyAlignment="1">
      <alignment horizontal="center" vertical="center"/>
    </xf>
    <xf numFmtId="41" fontId="23" fillId="36" borderId="92" xfId="1" applyFont="1" applyFill="1" applyBorder="1" applyAlignment="1">
      <alignment horizontal="center" vertical="center"/>
    </xf>
    <xf numFmtId="0" fontId="25" fillId="37" borderId="0" xfId="0" applyFont="1" applyFill="1" applyAlignment="1">
      <alignment horizontal="center" vertical="center"/>
    </xf>
    <xf numFmtId="41" fontId="25" fillId="37" borderId="0" xfId="1" applyFont="1" applyFill="1" applyAlignment="1">
      <alignment horizontal="center" vertical="center"/>
    </xf>
    <xf numFmtId="43" fontId="25" fillId="37" borderId="0" xfId="0" applyNumberFormat="1" applyFont="1" applyFill="1" applyAlignment="1">
      <alignment horizontal="center" vertical="center"/>
    </xf>
    <xf numFmtId="41" fontId="0" fillId="37" borderId="0" xfId="0" applyNumberFormat="1" applyFill="1" applyAlignment="1">
      <alignment horizontal="center" vertical="center"/>
    </xf>
    <xf numFmtId="0" fontId="4" fillId="37" borderId="0" xfId="0" applyFont="1" applyFill="1" applyAlignment="1">
      <alignment horizontal="right" vertical="center"/>
    </xf>
    <xf numFmtId="181" fontId="0" fillId="0" borderId="80" xfId="0" applyNumberFormat="1" applyBorder="1" applyAlignment="1">
      <alignment horizontal="center" vertical="center"/>
    </xf>
    <xf numFmtId="0" fontId="26" fillId="52" borderId="80" xfId="0" applyFont="1" applyFill="1" applyBorder="1" applyAlignment="1">
      <alignment horizontal="center" vertical="center"/>
    </xf>
    <xf numFmtId="0" fontId="26" fillId="33" borderId="80" xfId="0" applyFont="1" applyFill="1" applyBorder="1" applyAlignment="1">
      <alignment horizontal="center" vertical="center"/>
    </xf>
    <xf numFmtId="0" fontId="26" fillId="53" borderId="80" xfId="0" applyFont="1" applyFill="1" applyBorder="1" applyAlignment="1">
      <alignment horizontal="center" vertical="center"/>
    </xf>
    <xf numFmtId="0" fontId="26" fillId="50" borderId="80" xfId="0" applyFont="1" applyFill="1" applyBorder="1" applyAlignment="1">
      <alignment horizontal="center" vertical="center"/>
    </xf>
    <xf numFmtId="41" fontId="0" fillId="0" borderId="84" xfId="1" applyFont="1" applyBorder="1" applyAlignment="1">
      <alignment horizontal="center" vertical="center"/>
    </xf>
    <xf numFmtId="41" fontId="0" fillId="0" borderId="84" xfId="1" applyFont="1" applyFill="1" applyBorder="1" applyAlignment="1">
      <alignment horizontal="center" vertical="center"/>
    </xf>
    <xf numFmtId="181" fontId="0" fillId="0" borderId="92" xfId="0" applyNumberFormat="1" applyBorder="1">
      <alignment vertical="center"/>
    </xf>
    <xf numFmtId="41" fontId="0" fillId="0" borderId="97" xfId="1" applyFont="1" applyBorder="1" applyAlignment="1">
      <alignment horizontal="center" vertical="center"/>
    </xf>
    <xf numFmtId="41" fontId="0" fillId="0" borderId="102" xfId="1" applyFont="1" applyBorder="1">
      <alignment vertical="center"/>
    </xf>
    <xf numFmtId="41" fontId="0" fillId="0" borderId="84" xfId="1" applyFont="1" applyBorder="1">
      <alignment vertical="center"/>
    </xf>
    <xf numFmtId="41" fontId="0" fillId="0" borderId="72" xfId="1" applyFont="1" applyBorder="1">
      <alignment vertical="center"/>
    </xf>
    <xf numFmtId="41" fontId="0" fillId="0" borderId="84" xfId="1" applyFont="1" applyFill="1" applyBorder="1">
      <alignment vertical="center"/>
    </xf>
    <xf numFmtId="0" fontId="0" fillId="37" borderId="92" xfId="0" applyFill="1" applyBorder="1">
      <alignment vertical="center"/>
    </xf>
    <xf numFmtId="191" fontId="0" fillId="0" borderId="92" xfId="0" applyNumberFormat="1" applyBorder="1">
      <alignment vertical="center"/>
    </xf>
    <xf numFmtId="41" fontId="0" fillId="0" borderId="97" xfId="1" applyFont="1" applyBorder="1">
      <alignment vertical="center"/>
    </xf>
    <xf numFmtId="0" fontId="63" fillId="37" borderId="119" xfId="0" applyFont="1" applyFill="1" applyBorder="1" applyAlignment="1">
      <alignment horizontal="center" vertical="center"/>
    </xf>
    <xf numFmtId="0" fontId="0" fillId="37" borderId="119" xfId="0" applyFill="1" applyBorder="1">
      <alignment vertical="center"/>
    </xf>
    <xf numFmtId="14" fontId="30" fillId="37" borderId="0" xfId="0" applyNumberFormat="1" applyFont="1" applyFill="1">
      <alignment vertical="center"/>
    </xf>
    <xf numFmtId="14" fontId="0" fillId="37" borderId="0" xfId="0" applyNumberFormat="1" applyFill="1">
      <alignment vertical="center"/>
    </xf>
    <xf numFmtId="0" fontId="26" fillId="40" borderId="80" xfId="0" applyFont="1" applyFill="1" applyBorder="1" applyAlignment="1">
      <alignment horizontal="center" vertical="center" wrapText="1"/>
    </xf>
    <xf numFmtId="41" fontId="0" fillId="40" borderId="92" xfId="1" applyFont="1" applyFill="1" applyBorder="1" applyAlignment="1">
      <alignment horizontal="center" vertical="center"/>
    </xf>
    <xf numFmtId="181" fontId="0" fillId="37" borderId="80" xfId="0" applyNumberFormat="1" applyFill="1" applyBorder="1">
      <alignment vertical="center"/>
    </xf>
    <xf numFmtId="41" fontId="0" fillId="37" borderId="92" xfId="1" applyFont="1" applyFill="1" applyBorder="1" applyAlignment="1">
      <alignment horizontal="center" vertical="center"/>
    </xf>
    <xf numFmtId="0" fontId="24" fillId="35" borderId="55" xfId="0" applyFont="1" applyFill="1" applyBorder="1" applyAlignment="1">
      <alignment horizontal="center" vertical="center"/>
    </xf>
    <xf numFmtId="0" fontId="24" fillId="35" borderId="56" xfId="0" applyFont="1" applyFill="1" applyBorder="1" applyAlignment="1">
      <alignment horizontal="center" vertical="center"/>
    </xf>
    <xf numFmtId="0" fontId="24" fillId="35" borderId="54" xfId="0" applyFont="1" applyFill="1" applyBorder="1" applyAlignment="1">
      <alignment horizontal="center" vertical="center"/>
    </xf>
    <xf numFmtId="41" fontId="4" fillId="33" borderId="14" xfId="1" applyNumberFormat="1" applyFont="1" applyFill="1" applyBorder="1" applyAlignment="1">
      <alignment horizontal="center" vertical="center"/>
    </xf>
    <xf numFmtId="41" fontId="4" fillId="33" borderId="12" xfId="1" applyNumberFormat="1" applyFont="1" applyFill="1" applyBorder="1" applyAlignment="1">
      <alignment horizontal="center" vertical="center"/>
    </xf>
    <xf numFmtId="41" fontId="4" fillId="33" borderId="15" xfId="1" applyNumberFormat="1" applyFont="1" applyFill="1" applyBorder="1" applyAlignment="1">
      <alignment horizontal="center" vertical="center"/>
    </xf>
    <xf numFmtId="0" fontId="4" fillId="33" borderId="10" xfId="2" applyNumberFormat="1" applyFont="1" applyFill="1" applyBorder="1" applyAlignment="1">
      <alignment horizontal="center" vertical="center"/>
    </xf>
    <xf numFmtId="0" fontId="4" fillId="33" borderId="19" xfId="2" applyNumberFormat="1" applyFont="1" applyFill="1" applyBorder="1" applyAlignment="1">
      <alignment horizontal="center" vertical="center"/>
    </xf>
    <xf numFmtId="41" fontId="4" fillId="33" borderId="11" xfId="1" applyNumberFormat="1" applyFont="1" applyFill="1" applyBorder="1" applyAlignment="1">
      <alignment horizontal="center" vertical="center"/>
    </xf>
    <xf numFmtId="41" fontId="4" fillId="33" borderId="13" xfId="1" applyNumberFormat="1" applyFont="1" applyFill="1" applyBorder="1" applyAlignment="1">
      <alignment horizontal="center" vertical="center"/>
    </xf>
    <xf numFmtId="0" fontId="4" fillId="33" borderId="14" xfId="0" applyFont="1" applyFill="1" applyBorder="1" applyAlignment="1">
      <alignment horizontal="center" vertical="center"/>
    </xf>
    <xf numFmtId="0" fontId="4" fillId="33" borderId="15" xfId="0" applyFont="1" applyFill="1" applyBorder="1" applyAlignment="1">
      <alignment horizontal="center" vertical="center"/>
    </xf>
    <xf numFmtId="0" fontId="4" fillId="33" borderId="10" xfId="0" applyFont="1" applyFill="1" applyBorder="1" applyAlignment="1">
      <alignment horizontal="center" vertical="center"/>
    </xf>
    <xf numFmtId="0" fontId="4" fillId="33" borderId="19" xfId="0" applyFont="1" applyFill="1" applyBorder="1" applyAlignment="1">
      <alignment horizontal="center" vertical="center"/>
    </xf>
    <xf numFmtId="41" fontId="4" fillId="33" borderId="16" xfId="1" applyNumberFormat="1" applyFont="1" applyFill="1" applyBorder="1" applyAlignment="1">
      <alignment horizontal="center" vertical="center"/>
    </xf>
    <xf numFmtId="41" fontId="4" fillId="33" borderId="25" xfId="1" applyNumberFormat="1" applyFont="1" applyFill="1" applyBorder="1" applyAlignment="1">
      <alignment horizontal="center" vertical="center"/>
    </xf>
    <xf numFmtId="0" fontId="4" fillId="33" borderId="17" xfId="0" applyFont="1" applyFill="1" applyBorder="1" applyAlignment="1">
      <alignment horizontal="center" vertical="center"/>
    </xf>
    <xf numFmtId="0" fontId="4" fillId="33" borderId="26" xfId="0" applyFont="1" applyFill="1" applyBorder="1" applyAlignment="1">
      <alignment horizontal="center" vertical="center"/>
    </xf>
    <xf numFmtId="0" fontId="4" fillId="33" borderId="18" xfId="0" applyFont="1" applyFill="1" applyBorder="1" applyAlignment="1">
      <alignment horizontal="center" vertical="center"/>
    </xf>
    <xf numFmtId="0" fontId="4" fillId="33" borderId="27" xfId="0" applyFont="1" applyFill="1" applyBorder="1" applyAlignment="1">
      <alignment horizontal="center" vertical="center"/>
    </xf>
    <xf numFmtId="0" fontId="4" fillId="33" borderId="11" xfId="0" applyFont="1" applyFill="1" applyBorder="1" applyAlignment="1">
      <alignment horizontal="center" vertical="center"/>
    </xf>
    <xf numFmtId="0" fontId="4" fillId="33" borderId="12" xfId="0" applyFont="1" applyFill="1" applyBorder="1" applyAlignment="1">
      <alignment horizontal="center" vertical="center"/>
    </xf>
    <xf numFmtId="0" fontId="4" fillId="33" borderId="13" xfId="0" applyFont="1" applyFill="1" applyBorder="1" applyAlignment="1">
      <alignment horizontal="center" vertical="center"/>
    </xf>
    <xf numFmtId="0" fontId="24" fillId="55" borderId="55" xfId="0" applyFont="1" applyFill="1" applyBorder="1" applyAlignment="1">
      <alignment horizontal="center" vertical="center"/>
    </xf>
    <xf numFmtId="0" fontId="24" fillId="55" borderId="56" xfId="0" applyFont="1" applyFill="1" applyBorder="1" applyAlignment="1">
      <alignment horizontal="center" vertical="center"/>
    </xf>
    <xf numFmtId="0" fontId="24" fillId="55" borderId="54" xfId="0" applyFont="1" applyFill="1" applyBorder="1" applyAlignment="1">
      <alignment horizontal="center" vertical="center"/>
    </xf>
    <xf numFmtId="0" fontId="23" fillId="34" borderId="63" xfId="0" applyFont="1" applyFill="1" applyBorder="1" applyAlignment="1">
      <alignment horizontal="center" vertical="center"/>
    </xf>
    <xf numFmtId="0" fontId="23" fillId="34" borderId="58" xfId="2" applyNumberFormat="1" applyFont="1" applyFill="1" applyBorder="1" applyAlignment="1">
      <alignment horizontal="center" vertical="center"/>
    </xf>
    <xf numFmtId="0" fontId="23" fillId="34" borderId="60" xfId="2" applyNumberFormat="1" applyFont="1" applyFill="1" applyBorder="1" applyAlignment="1">
      <alignment horizontal="center" vertical="center"/>
    </xf>
    <xf numFmtId="0" fontId="23" fillId="34" borderId="75" xfId="0" applyFont="1" applyFill="1" applyBorder="1" applyAlignment="1">
      <alignment horizontal="center" vertical="center"/>
    </xf>
    <xf numFmtId="0" fontId="23" fillId="34" borderId="102" xfId="0" applyFont="1" applyFill="1" applyBorder="1" applyAlignment="1">
      <alignment horizontal="center" vertical="center"/>
    </xf>
    <xf numFmtId="0" fontId="30" fillId="37" borderId="0" xfId="0" applyFont="1" applyFill="1" applyBorder="1" applyAlignment="1">
      <alignment horizontal="center" vertical="center"/>
    </xf>
    <xf numFmtId="0" fontId="31" fillId="37" borderId="0" xfId="0" applyFont="1" applyFill="1" applyBorder="1" applyAlignment="1">
      <alignment horizontal="center" vertical="center"/>
    </xf>
    <xf numFmtId="41" fontId="4" fillId="52" borderId="63" xfId="1" applyFont="1" applyFill="1" applyBorder="1" applyAlignment="1">
      <alignment horizontal="center" vertical="center" wrapText="1"/>
    </xf>
    <xf numFmtId="41" fontId="4" fillId="52" borderId="80" xfId="1" applyFont="1" applyFill="1" applyBorder="1" applyAlignment="1">
      <alignment horizontal="center" vertical="center" wrapText="1"/>
    </xf>
    <xf numFmtId="41" fontId="4" fillId="52" borderId="98" xfId="1" applyFont="1" applyFill="1" applyBorder="1" applyAlignment="1">
      <alignment horizontal="center" vertical="center" wrapText="1"/>
    </xf>
    <xf numFmtId="41" fontId="4" fillId="52" borderId="84" xfId="1" applyFont="1" applyFill="1" applyBorder="1" applyAlignment="1">
      <alignment horizontal="center" vertical="center" wrapText="1"/>
    </xf>
    <xf numFmtId="0" fontId="26" fillId="52" borderId="63" xfId="0" applyFont="1" applyFill="1" applyBorder="1" applyAlignment="1">
      <alignment horizontal="center" vertical="center" wrapText="1"/>
    </xf>
    <xf numFmtId="0" fontId="26" fillId="52" borderId="80" xfId="0" applyFont="1" applyFill="1" applyBorder="1" applyAlignment="1">
      <alignment horizontal="center" vertical="center"/>
    </xf>
    <xf numFmtId="0" fontId="26" fillId="52" borderId="63" xfId="0" applyFont="1" applyFill="1" applyBorder="1" applyAlignment="1">
      <alignment horizontal="center" vertical="center"/>
    </xf>
    <xf numFmtId="0" fontId="63" fillId="0" borderId="0" xfId="0" applyFont="1" applyBorder="1" applyAlignment="1">
      <alignment horizontal="center" vertical="center"/>
    </xf>
    <xf numFmtId="0" fontId="26" fillId="52" borderId="65" xfId="0" applyFont="1" applyFill="1" applyBorder="1" applyAlignment="1">
      <alignment horizontal="center" vertical="center"/>
    </xf>
    <xf numFmtId="0" fontId="26" fillId="52" borderId="66" xfId="0" applyFont="1" applyFill="1" applyBorder="1" applyAlignment="1">
      <alignment horizontal="center" vertical="center"/>
    </xf>
    <xf numFmtId="0" fontId="26" fillId="52" borderId="64" xfId="0" applyFont="1" applyFill="1" applyBorder="1" applyAlignment="1">
      <alignment horizontal="center" vertical="center"/>
    </xf>
    <xf numFmtId="0" fontId="26" fillId="52" borderId="120" xfId="0" applyFont="1" applyFill="1" applyBorder="1" applyAlignment="1">
      <alignment horizontal="center" vertical="center"/>
    </xf>
    <xf numFmtId="0" fontId="26" fillId="52" borderId="118" xfId="0" applyFont="1" applyFill="1" applyBorder="1" applyAlignment="1">
      <alignment horizontal="center" vertical="center"/>
    </xf>
    <xf numFmtId="0" fontId="26" fillId="52" borderId="111" xfId="0" applyFont="1" applyFill="1" applyBorder="1" applyAlignment="1">
      <alignment horizontal="center" vertical="center"/>
    </xf>
    <xf numFmtId="0" fontId="26" fillId="52" borderId="59" xfId="0" applyFont="1" applyFill="1" applyBorder="1" applyAlignment="1">
      <alignment horizontal="center" vertical="center"/>
    </xf>
    <xf numFmtId="0" fontId="26" fillId="52" borderId="61" xfId="0" applyFont="1" applyFill="1" applyBorder="1" applyAlignment="1">
      <alignment horizontal="center" vertical="center"/>
    </xf>
    <xf numFmtId="41" fontId="4" fillId="52" borderId="116" xfId="1" applyFont="1" applyFill="1" applyBorder="1" applyAlignment="1">
      <alignment horizontal="center" vertical="center" wrapText="1"/>
    </xf>
    <xf numFmtId="41" fontId="4" fillId="52" borderId="117" xfId="1" applyFont="1" applyFill="1" applyBorder="1" applyAlignment="1">
      <alignment horizontal="center" vertical="center" wrapText="1"/>
    </xf>
    <xf numFmtId="0" fontId="26" fillId="52" borderId="103" xfId="0" applyFont="1" applyFill="1" applyBorder="1" applyAlignment="1">
      <alignment horizontal="center" vertical="center"/>
    </xf>
    <xf numFmtId="0" fontId="26" fillId="52" borderId="0" xfId="0" applyFont="1" applyFill="1" applyBorder="1" applyAlignment="1">
      <alignment horizontal="center" vertical="center"/>
    </xf>
    <xf numFmtId="0" fontId="26" fillId="52" borderId="47" xfId="0" applyFont="1" applyFill="1" applyBorder="1" applyAlignment="1">
      <alignment horizontal="center" vertical="center"/>
    </xf>
    <xf numFmtId="0" fontId="26" fillId="52" borderId="68" xfId="0" applyFont="1" applyFill="1" applyBorder="1" applyAlignment="1">
      <alignment horizontal="center" vertical="center"/>
    </xf>
    <xf numFmtId="0" fontId="26" fillId="52" borderId="69" xfId="0" applyFont="1" applyFill="1" applyBorder="1" applyAlignment="1">
      <alignment horizontal="center" vertical="center"/>
    </xf>
    <xf numFmtId="0" fontId="63" fillId="37" borderId="0" xfId="0" applyFont="1" applyFill="1" applyBorder="1" applyAlignment="1">
      <alignment horizontal="center" vertical="center"/>
    </xf>
    <xf numFmtId="0" fontId="26" fillId="33" borderId="120" xfId="0" applyFont="1" applyFill="1" applyBorder="1" applyAlignment="1">
      <alignment horizontal="center" vertical="center"/>
    </xf>
    <xf numFmtId="0" fontId="26" fillId="33" borderId="118" xfId="0" applyFont="1" applyFill="1" applyBorder="1" applyAlignment="1">
      <alignment horizontal="center" vertical="center"/>
    </xf>
    <xf numFmtId="0" fontId="26" fillId="33" borderId="111" xfId="0" applyFont="1" applyFill="1" applyBorder="1" applyAlignment="1">
      <alignment horizontal="center" vertical="center"/>
    </xf>
    <xf numFmtId="0" fontId="26" fillId="33" borderId="59" xfId="0" applyFont="1" applyFill="1" applyBorder="1" applyAlignment="1">
      <alignment horizontal="center" vertical="center"/>
    </xf>
    <xf numFmtId="0" fontId="26" fillId="33" borderId="61" xfId="0" applyFont="1" applyFill="1" applyBorder="1" applyAlignment="1">
      <alignment horizontal="center" vertical="center"/>
    </xf>
    <xf numFmtId="0" fontId="26" fillId="53" borderId="63" xfId="0" applyFont="1" applyFill="1" applyBorder="1" applyAlignment="1">
      <alignment horizontal="center" vertical="center"/>
    </xf>
    <xf numFmtId="0" fontId="26" fillId="50" borderId="63" xfId="0" applyFont="1" applyFill="1" applyBorder="1" applyAlignment="1">
      <alignment horizontal="center" vertical="center"/>
    </xf>
    <xf numFmtId="0" fontId="26" fillId="36" borderId="63" xfId="0" applyFont="1" applyFill="1" applyBorder="1" applyAlignment="1">
      <alignment horizontal="center" vertical="center" wrapText="1"/>
    </xf>
    <xf numFmtId="0" fontId="26" fillId="36" borderId="80" xfId="0" applyFont="1" applyFill="1" applyBorder="1" applyAlignment="1">
      <alignment horizontal="center" vertical="center"/>
    </xf>
    <xf numFmtId="0" fontId="26" fillId="36" borderId="63" xfId="0" applyFont="1" applyFill="1" applyBorder="1" applyAlignment="1">
      <alignment horizontal="center" vertical="center"/>
    </xf>
    <xf numFmtId="0" fontId="26" fillId="35" borderId="65" xfId="0" applyFont="1" applyFill="1" applyBorder="1" applyAlignment="1">
      <alignment horizontal="center" vertical="center"/>
    </xf>
    <xf numFmtId="0" fontId="26" fillId="35" borderId="66" xfId="0" applyFont="1" applyFill="1" applyBorder="1" applyAlignment="1">
      <alignment horizontal="center" vertical="center"/>
    </xf>
    <xf numFmtId="0" fontId="26" fillId="35" borderId="64" xfId="0" applyFont="1" applyFill="1" applyBorder="1" applyAlignment="1">
      <alignment horizontal="center" vertical="center"/>
    </xf>
    <xf numFmtId="0" fontId="0" fillId="37" borderId="119" xfId="0" applyFill="1" applyBorder="1" applyAlignment="1">
      <alignment horizontal="right" vertical="center"/>
    </xf>
    <xf numFmtId="0" fontId="40" fillId="43" borderId="76" xfId="0" applyFont="1" applyFill="1" applyBorder="1" applyAlignment="1">
      <alignment horizontal="left" vertical="center" wrapText="1"/>
    </xf>
    <xf numFmtId="0" fontId="40" fillId="43" borderId="85" xfId="0" applyFont="1" applyFill="1" applyBorder="1" applyAlignment="1">
      <alignment horizontal="left" vertical="center" wrapText="1"/>
    </xf>
    <xf numFmtId="0" fontId="40" fillId="43" borderId="77" xfId="0" applyFont="1" applyFill="1" applyBorder="1" applyAlignment="1">
      <alignment horizontal="center" wrapText="1"/>
    </xf>
    <xf numFmtId="0" fontId="40" fillId="43" borderId="78" xfId="0" applyFont="1" applyFill="1" applyBorder="1" applyAlignment="1">
      <alignment horizontal="center" wrapText="1"/>
    </xf>
    <xf numFmtId="0" fontId="40" fillId="43" borderId="76" xfId="0" applyFont="1" applyFill="1" applyBorder="1" applyAlignment="1">
      <alignment horizontal="center" wrapText="1"/>
    </xf>
    <xf numFmtId="0" fontId="32" fillId="45" borderId="58" xfId="0" applyFont="1" applyFill="1" applyBorder="1" applyAlignment="1">
      <alignment horizontal="center" vertical="center"/>
    </xf>
    <xf numFmtId="0" fontId="32" fillId="45" borderId="79" xfId="0" applyFont="1" applyFill="1" applyBorder="1" applyAlignment="1">
      <alignment horizontal="center" vertical="center"/>
    </xf>
    <xf numFmtId="0" fontId="32" fillId="45" borderId="91" xfId="0" applyFont="1" applyFill="1" applyBorder="1" applyAlignment="1">
      <alignment horizontal="center" vertical="center"/>
    </xf>
    <xf numFmtId="0" fontId="32" fillId="48" borderId="59" xfId="0" applyFont="1" applyFill="1" applyBorder="1" applyAlignment="1">
      <alignment horizontal="center" vertical="center"/>
    </xf>
    <xf numFmtId="0" fontId="32" fillId="48" borderId="61" xfId="0" applyFont="1" applyFill="1" applyBorder="1" applyAlignment="1">
      <alignment horizontal="center" vertical="center"/>
    </xf>
    <xf numFmtId="0" fontId="32" fillId="48" borderId="62" xfId="0" applyFont="1" applyFill="1" applyBorder="1" applyAlignment="1">
      <alignment horizontal="center" vertical="center"/>
    </xf>
    <xf numFmtId="0" fontId="32" fillId="49" borderId="58" xfId="0" applyFont="1" applyFill="1" applyBorder="1" applyAlignment="1">
      <alignment horizontal="center" vertical="center"/>
    </xf>
    <xf numFmtId="0" fontId="32" fillId="49" borderId="79" xfId="0" applyFont="1" applyFill="1" applyBorder="1" applyAlignment="1">
      <alignment horizontal="center" vertical="center"/>
    </xf>
    <xf numFmtId="41" fontId="33" fillId="40" borderId="80" xfId="1" applyFont="1" applyFill="1" applyBorder="1" applyAlignment="1">
      <alignment horizontal="center" vertical="center"/>
    </xf>
    <xf numFmtId="41" fontId="33" fillId="40" borderId="69" xfId="1" applyFont="1" applyFill="1" applyBorder="1" applyAlignment="1">
      <alignment horizontal="center" vertical="center"/>
    </xf>
    <xf numFmtId="0" fontId="32" fillId="46" borderId="58" xfId="0" applyFont="1" applyFill="1" applyBorder="1" applyAlignment="1">
      <alignment horizontal="center" vertical="center"/>
    </xf>
    <xf numFmtId="0" fontId="32" fillId="46" borderId="79" xfId="0" applyFont="1" applyFill="1" applyBorder="1" applyAlignment="1">
      <alignment horizontal="center" vertical="center"/>
    </xf>
    <xf numFmtId="0" fontId="32" fillId="46" borderId="91" xfId="0" applyFont="1" applyFill="1" applyBorder="1" applyAlignment="1">
      <alignment horizontal="center" vertical="center"/>
    </xf>
    <xf numFmtId="0" fontId="32" fillId="41" borderId="58" xfId="0" applyFont="1" applyFill="1" applyBorder="1" applyAlignment="1">
      <alignment horizontal="center" vertical="center"/>
    </xf>
    <xf numFmtId="0" fontId="32" fillId="41" borderId="79" xfId="0" applyFont="1" applyFill="1" applyBorder="1" applyAlignment="1">
      <alignment horizontal="center" vertical="center"/>
    </xf>
    <xf numFmtId="0" fontId="32" fillId="41" borderId="91" xfId="0" applyFont="1" applyFill="1" applyBorder="1" applyAlignment="1">
      <alignment horizontal="center" vertical="center"/>
    </xf>
    <xf numFmtId="0" fontId="29" fillId="37" borderId="0" xfId="0" applyFont="1" applyFill="1" applyAlignment="1">
      <alignment horizontal="center" vertical="center"/>
    </xf>
    <xf numFmtId="0" fontId="32" fillId="39" borderId="59" xfId="0" applyFont="1" applyFill="1" applyBorder="1" applyAlignment="1">
      <alignment horizontal="center" vertical="center"/>
    </xf>
    <xf numFmtId="0" fontId="32" fillId="39" borderId="68" xfId="0" applyFont="1" applyFill="1" applyBorder="1" applyAlignment="1">
      <alignment horizontal="center" vertical="center"/>
    </xf>
    <xf numFmtId="41" fontId="33" fillId="39" borderId="64" xfId="1" applyFont="1" applyFill="1" applyBorder="1" applyAlignment="1">
      <alignment horizontal="center" vertical="center"/>
    </xf>
    <xf numFmtId="41" fontId="33" fillId="39" borderId="70" xfId="1" applyFont="1" applyFill="1" applyBorder="1" applyAlignment="1">
      <alignment horizontal="center" vertical="center"/>
    </xf>
    <xf numFmtId="41" fontId="33" fillId="39" borderId="63" xfId="1" applyFont="1" applyFill="1" applyBorder="1" applyAlignment="1">
      <alignment horizontal="center" vertical="center"/>
    </xf>
    <xf numFmtId="41" fontId="33" fillId="39" borderId="65" xfId="1" applyFont="1" applyFill="1" applyBorder="1" applyAlignment="1">
      <alignment horizontal="center" vertical="center"/>
    </xf>
    <xf numFmtId="41" fontId="33" fillId="40" borderId="59" xfId="1" applyFont="1" applyFill="1" applyBorder="1" applyAlignment="1">
      <alignment horizontal="center" vertical="center"/>
    </xf>
    <xf numFmtId="41" fontId="33" fillId="40" borderId="61" xfId="1" applyFont="1" applyFill="1" applyBorder="1" applyAlignment="1">
      <alignment horizontal="center" vertical="center"/>
    </xf>
    <xf numFmtId="41" fontId="33" fillId="40" borderId="64" xfId="1" applyFont="1" applyFill="1" applyBorder="1" applyAlignment="1">
      <alignment horizontal="center" vertical="center"/>
    </xf>
    <xf numFmtId="41" fontId="33" fillId="40" borderId="70" xfId="1" applyFont="1" applyFill="1" applyBorder="1" applyAlignment="1">
      <alignment horizontal="center" vertical="center"/>
    </xf>
    <xf numFmtId="41" fontId="33" fillId="40" borderId="65" xfId="1" applyFont="1" applyFill="1" applyBorder="1" applyAlignment="1">
      <alignment horizontal="center" vertical="center"/>
    </xf>
    <xf numFmtId="41" fontId="33" fillId="40" borderId="66" xfId="1" applyFont="1" applyFill="1" applyBorder="1" applyAlignment="1">
      <alignment horizontal="center" vertical="center"/>
    </xf>
    <xf numFmtId="41" fontId="33" fillId="40" borderId="67" xfId="1" applyFont="1" applyFill="1" applyBorder="1" applyAlignment="1">
      <alignment horizontal="center" vertical="center"/>
    </xf>
    <xf numFmtId="0" fontId="41" fillId="0" borderId="90" xfId="0" applyFont="1" applyBorder="1" applyAlignment="1">
      <alignment horizontal="left" vertical="center" wrapText="1"/>
    </xf>
    <xf numFmtId="0" fontId="41" fillId="0" borderId="114" xfId="0" applyFont="1" applyBorder="1" applyAlignment="1">
      <alignment horizontal="left" vertical="center" wrapText="1"/>
    </xf>
    <xf numFmtId="0" fontId="46" fillId="0" borderId="109" xfId="0" applyFont="1" applyBorder="1" applyAlignment="1">
      <alignment horizontal="left" vertical="center"/>
    </xf>
    <xf numFmtId="0" fontId="46" fillId="0" borderId="114" xfId="0" applyFont="1" applyBorder="1" applyAlignment="1">
      <alignment horizontal="left" vertical="center"/>
    </xf>
    <xf numFmtId="0" fontId="41" fillId="47" borderId="90" xfId="0" applyFont="1" applyFill="1" applyBorder="1" applyAlignment="1">
      <alignment horizontal="left" vertical="center" wrapText="1"/>
    </xf>
    <xf numFmtId="0" fontId="41" fillId="47" borderId="114" xfId="0" applyFont="1" applyFill="1" applyBorder="1" applyAlignment="1">
      <alignment horizontal="left" vertical="center" wrapText="1"/>
    </xf>
    <xf numFmtId="0" fontId="41" fillId="0" borderId="88" xfId="0" applyFont="1" applyBorder="1" applyAlignment="1">
      <alignment horizontal="left" vertical="center" wrapText="1"/>
    </xf>
    <xf numFmtId="0" fontId="41" fillId="0" borderId="85" xfId="0" applyFont="1" applyBorder="1" applyAlignment="1">
      <alignment horizontal="left" vertical="center" wrapText="1"/>
    </xf>
    <xf numFmtId="0" fontId="47" fillId="37" borderId="0" xfId="0" applyFont="1" applyFill="1" applyAlignment="1">
      <alignment horizontal="center" vertical="center"/>
    </xf>
    <xf numFmtId="0" fontId="0" fillId="37" borderId="0" xfId="0" applyFill="1" applyBorder="1" applyAlignment="1">
      <alignment horizontal="center" vertical="center"/>
    </xf>
    <xf numFmtId="41" fontId="48" fillId="40" borderId="59" xfId="1" applyFont="1" applyFill="1" applyBorder="1" applyAlignment="1">
      <alignment horizontal="center" vertical="center"/>
    </xf>
    <xf numFmtId="41" fontId="48" fillId="40" borderId="62" xfId="1" applyFont="1" applyFill="1" applyBorder="1" applyAlignment="1">
      <alignment horizontal="center" vertical="center"/>
    </xf>
    <xf numFmtId="41" fontId="49" fillId="40" borderId="65" xfId="1" applyFont="1" applyFill="1" applyBorder="1" applyAlignment="1">
      <alignment horizontal="center" vertical="center"/>
    </xf>
    <xf numFmtId="41" fontId="49" fillId="40" borderId="66" xfId="1" applyFont="1" applyFill="1" applyBorder="1" applyAlignment="1">
      <alignment horizontal="center" vertical="center"/>
    </xf>
    <xf numFmtId="41" fontId="49" fillId="40" borderId="110" xfId="1" applyFont="1" applyFill="1" applyBorder="1" applyAlignment="1">
      <alignment horizontal="center" vertical="center"/>
    </xf>
    <xf numFmtId="41" fontId="49" fillId="40" borderId="67" xfId="1" applyFont="1" applyFill="1" applyBorder="1" applyAlignment="1">
      <alignment horizontal="center" vertical="center"/>
    </xf>
    <xf numFmtId="41" fontId="49" fillId="40" borderId="111" xfId="1" applyFont="1" applyFill="1" applyBorder="1" applyAlignment="1">
      <alignment horizontal="center" vertical="center"/>
    </xf>
    <xf numFmtId="41" fontId="49" fillId="40" borderId="112" xfId="1" applyFont="1" applyFill="1" applyBorder="1" applyAlignment="1">
      <alignment horizontal="center" vertical="center"/>
    </xf>
    <xf numFmtId="41" fontId="50" fillId="40" borderId="73" xfId="1" applyFont="1" applyFill="1" applyBorder="1" applyAlignment="1">
      <alignment horizontal="center" vertical="center"/>
    </xf>
    <xf numFmtId="41" fontId="50" fillId="40" borderId="94" xfId="1" applyFont="1" applyFill="1" applyBorder="1" applyAlignment="1">
      <alignment horizontal="center" vertical="center"/>
    </xf>
    <xf numFmtId="41" fontId="49" fillId="40" borderId="75" xfId="1" applyFont="1" applyFill="1" applyBorder="1" applyAlignment="1">
      <alignment horizontal="center" vertical="center"/>
    </xf>
    <xf numFmtId="41" fontId="49" fillId="40" borderId="113" xfId="1" applyFont="1" applyFill="1" applyBorder="1" applyAlignment="1">
      <alignment horizontal="center" vertical="center"/>
    </xf>
    <xf numFmtId="0" fontId="0" fillId="37" borderId="0" xfId="0" applyFill="1" applyBorder="1" applyAlignment="1">
      <alignment horizontal="right" vertical="center"/>
    </xf>
    <xf numFmtId="41" fontId="49" fillId="40" borderId="64" xfId="1" applyFont="1" applyFill="1" applyBorder="1" applyAlignment="1">
      <alignment horizontal="center" vertical="center"/>
    </xf>
    <xf numFmtId="41" fontId="49" fillId="40" borderId="73" xfId="1" applyFont="1" applyFill="1" applyBorder="1" applyAlignment="1">
      <alignment horizontal="center" vertical="center"/>
    </xf>
    <xf numFmtId="41" fontId="49" fillId="40" borderId="94" xfId="1" applyFont="1" applyFill="1" applyBorder="1" applyAlignment="1">
      <alignment horizontal="center" vertical="center"/>
    </xf>
  </cellXfs>
  <cellStyles count="3187">
    <cellStyle name="20% - 강조색1 10" xfId="3"/>
    <cellStyle name="20% - 강조색1 10 2" xfId="4"/>
    <cellStyle name="20% - 강조색1 10 3" xfId="5"/>
    <cellStyle name="20% - 강조색1 10_Sheet1" xfId="6"/>
    <cellStyle name="20% - 강조색1 100" xfId="7"/>
    <cellStyle name="20% - 강조색1 101" xfId="8"/>
    <cellStyle name="20% - 강조색1 102" xfId="9"/>
    <cellStyle name="20% - 강조색1 103" xfId="10"/>
    <cellStyle name="20% - 강조색1 104" xfId="11"/>
    <cellStyle name="20% - 강조색1 105" xfId="12"/>
    <cellStyle name="20% - 강조색1 106" xfId="13"/>
    <cellStyle name="20% - 강조색1 107" xfId="14"/>
    <cellStyle name="20% - 강조색1 108" xfId="15"/>
    <cellStyle name="20% - 강조색1 109" xfId="16"/>
    <cellStyle name="20% - 강조색1 11" xfId="17"/>
    <cellStyle name="20% - 강조색1 11 2" xfId="18"/>
    <cellStyle name="20% - 강조색1 11 3" xfId="19"/>
    <cellStyle name="20% - 강조색1 11_Sheet1" xfId="20"/>
    <cellStyle name="20% - 강조색1 110" xfId="21"/>
    <cellStyle name="20% - 강조색1 111" xfId="22"/>
    <cellStyle name="20% - 강조색1 12" xfId="23"/>
    <cellStyle name="20% - 강조색1 12 2" xfId="24"/>
    <cellStyle name="20% - 강조색1 12 3" xfId="25"/>
    <cellStyle name="20% - 강조색1 12_Sheet1" xfId="26"/>
    <cellStyle name="20% - 강조색1 13" xfId="27"/>
    <cellStyle name="20% - 강조색1 13 2" xfId="28"/>
    <cellStyle name="20% - 강조색1 13 3" xfId="29"/>
    <cellStyle name="20% - 강조색1 13_Sheet1" xfId="30"/>
    <cellStyle name="20% - 강조색1 14" xfId="31"/>
    <cellStyle name="20% - 강조색1 14 2" xfId="32"/>
    <cellStyle name="20% - 강조색1 14 3" xfId="33"/>
    <cellStyle name="20% - 강조색1 14_Sheet1" xfId="34"/>
    <cellStyle name="20% - 강조색1 15" xfId="35"/>
    <cellStyle name="20% - 강조색1 15 2" xfId="36"/>
    <cellStyle name="20% - 강조색1 15 3" xfId="37"/>
    <cellStyle name="20% - 강조색1 15_Sheet1" xfId="38"/>
    <cellStyle name="20% - 강조색1 16" xfId="39"/>
    <cellStyle name="20% - 강조색1 16 2" xfId="40"/>
    <cellStyle name="20% - 강조색1 16 3" xfId="41"/>
    <cellStyle name="20% - 강조색1 16_Sheet1" xfId="42"/>
    <cellStyle name="20% - 강조색1 17" xfId="43"/>
    <cellStyle name="20% - 강조색1 17 2" xfId="44"/>
    <cellStyle name="20% - 강조색1 17 3" xfId="45"/>
    <cellStyle name="20% - 강조색1 17_Sheet1" xfId="46"/>
    <cellStyle name="20% - 강조색1 18" xfId="47"/>
    <cellStyle name="20% - 강조색1 18 2" xfId="48"/>
    <cellStyle name="20% - 강조색1 18 3" xfId="49"/>
    <cellStyle name="20% - 강조색1 18_Sheet1" xfId="50"/>
    <cellStyle name="20% - 강조색1 19" xfId="51"/>
    <cellStyle name="20% - 강조색1 19 2" xfId="52"/>
    <cellStyle name="20% - 강조색1 19 3" xfId="53"/>
    <cellStyle name="20% - 강조색1 19_Sheet1" xfId="54"/>
    <cellStyle name="20% - 강조색1 2" xfId="55"/>
    <cellStyle name="20% - 강조색1 20" xfId="56"/>
    <cellStyle name="20% - 강조색1 20 2" xfId="57"/>
    <cellStyle name="20% - 강조색1 20 3" xfId="58"/>
    <cellStyle name="20% - 강조색1 20_Sheet1" xfId="59"/>
    <cellStyle name="20% - 강조색1 21" xfId="60"/>
    <cellStyle name="20% - 강조색1 21 2" xfId="61"/>
    <cellStyle name="20% - 강조색1 21 3" xfId="62"/>
    <cellStyle name="20% - 강조색1 21_Sheet1" xfId="63"/>
    <cellStyle name="20% - 강조색1 22" xfId="64"/>
    <cellStyle name="20% - 강조색1 22 2" xfId="65"/>
    <cellStyle name="20% - 강조색1 22 3" xfId="66"/>
    <cellStyle name="20% - 강조색1 22_Sheet1" xfId="67"/>
    <cellStyle name="20% - 강조색1 23" xfId="68"/>
    <cellStyle name="20% - 강조색1 23 2" xfId="69"/>
    <cellStyle name="20% - 강조색1 23 3" xfId="70"/>
    <cellStyle name="20% - 강조색1 23_Sheet1" xfId="71"/>
    <cellStyle name="20% - 강조색1 24" xfId="72"/>
    <cellStyle name="20% - 강조색1 24 2" xfId="73"/>
    <cellStyle name="20% - 강조색1 24 3" xfId="74"/>
    <cellStyle name="20% - 강조색1 24_Sheet1" xfId="75"/>
    <cellStyle name="20% - 강조색1 25" xfId="76"/>
    <cellStyle name="20% - 강조색1 25 2" xfId="77"/>
    <cellStyle name="20% - 강조색1 25 3" xfId="78"/>
    <cellStyle name="20% - 강조색1 25_Sheet1" xfId="79"/>
    <cellStyle name="20% - 강조색1 26" xfId="80"/>
    <cellStyle name="20% - 강조색1 26 2" xfId="81"/>
    <cellStyle name="20% - 강조색1 26 3" xfId="82"/>
    <cellStyle name="20% - 강조색1 26_Sheet1" xfId="83"/>
    <cellStyle name="20% - 강조색1 27" xfId="84"/>
    <cellStyle name="20% - 강조색1 27 2" xfId="85"/>
    <cellStyle name="20% - 강조색1 27 3" xfId="86"/>
    <cellStyle name="20% - 강조색1 27_Sheet1" xfId="87"/>
    <cellStyle name="20% - 강조색1 28" xfId="88"/>
    <cellStyle name="20% - 강조색1 28 2" xfId="89"/>
    <cellStyle name="20% - 강조색1 28 3" xfId="90"/>
    <cellStyle name="20% - 강조색1 28_Sheet1" xfId="91"/>
    <cellStyle name="20% - 강조색1 29" xfId="92"/>
    <cellStyle name="20% - 강조색1 29 2" xfId="93"/>
    <cellStyle name="20% - 강조색1 29 3" xfId="94"/>
    <cellStyle name="20% - 강조색1 29_Sheet1" xfId="95"/>
    <cellStyle name="20% - 강조색1 3" xfId="96"/>
    <cellStyle name="20% - 강조색1 30" xfId="97"/>
    <cellStyle name="20% - 강조색1 30 2" xfId="98"/>
    <cellStyle name="20% - 강조색1 30 3" xfId="99"/>
    <cellStyle name="20% - 강조색1 30_Sheet1" xfId="100"/>
    <cellStyle name="20% - 강조색1 31" xfId="101"/>
    <cellStyle name="20% - 강조색1 31 2" xfId="102"/>
    <cellStyle name="20% - 강조색1 31 3" xfId="103"/>
    <cellStyle name="20% - 강조색1 31_Sheet1" xfId="104"/>
    <cellStyle name="20% - 강조색1 32" xfId="105"/>
    <cellStyle name="20% - 강조색1 32 2" xfId="106"/>
    <cellStyle name="20% - 강조색1 32 3" xfId="107"/>
    <cellStyle name="20% - 강조색1 32_Sheet1" xfId="108"/>
    <cellStyle name="20% - 강조색1 33" xfId="109"/>
    <cellStyle name="20% - 강조색1 33 2" xfId="110"/>
    <cellStyle name="20% - 강조색1 33 3" xfId="111"/>
    <cellStyle name="20% - 강조색1 33_Sheet1" xfId="112"/>
    <cellStyle name="20% - 강조색1 34" xfId="113"/>
    <cellStyle name="20% - 강조색1 34 2" xfId="114"/>
    <cellStyle name="20% - 강조색1 34 3" xfId="115"/>
    <cellStyle name="20% - 강조색1 34_Sheet1" xfId="116"/>
    <cellStyle name="20% - 강조색1 35" xfId="117"/>
    <cellStyle name="20% - 강조색1 35 2" xfId="118"/>
    <cellStyle name="20% - 강조색1 35 3" xfId="119"/>
    <cellStyle name="20% - 강조색1 35_Sheet1" xfId="120"/>
    <cellStyle name="20% - 강조색1 36" xfId="121"/>
    <cellStyle name="20% - 강조색1 36 2" xfId="122"/>
    <cellStyle name="20% - 강조색1 36 3" xfId="123"/>
    <cellStyle name="20% - 강조색1 36_Sheet1" xfId="124"/>
    <cellStyle name="20% - 강조색1 37" xfId="125"/>
    <cellStyle name="20% - 강조색1 37 2" xfId="126"/>
    <cellStyle name="20% - 강조색1 37 3" xfId="127"/>
    <cellStyle name="20% - 강조색1 37_Sheet1" xfId="128"/>
    <cellStyle name="20% - 강조색1 38" xfId="129"/>
    <cellStyle name="20% - 강조색1 38 2" xfId="130"/>
    <cellStyle name="20% - 강조색1 38 3" xfId="131"/>
    <cellStyle name="20% - 강조색1 38_Sheet1" xfId="132"/>
    <cellStyle name="20% - 강조색1 39" xfId="133"/>
    <cellStyle name="20% - 강조색1 39 2" xfId="134"/>
    <cellStyle name="20% - 강조색1 39 3" xfId="135"/>
    <cellStyle name="20% - 강조색1 39_Sheet1" xfId="136"/>
    <cellStyle name="20% - 강조색1 4" xfId="137"/>
    <cellStyle name="20% - 강조색1 40" xfId="138"/>
    <cellStyle name="20% - 강조색1 40 2" xfId="139"/>
    <cellStyle name="20% - 강조색1 40 3" xfId="140"/>
    <cellStyle name="20% - 강조색1 40_Sheet1" xfId="141"/>
    <cellStyle name="20% - 강조색1 41" xfId="142"/>
    <cellStyle name="20% - 강조색1 41 2" xfId="143"/>
    <cellStyle name="20% - 강조색1 41 3" xfId="144"/>
    <cellStyle name="20% - 강조색1 41_Sheet1" xfId="145"/>
    <cellStyle name="20% - 강조색1 42" xfId="146"/>
    <cellStyle name="20% - 강조색1 42 2" xfId="147"/>
    <cellStyle name="20% - 강조색1 42 3" xfId="148"/>
    <cellStyle name="20% - 강조색1 42_Sheet1" xfId="149"/>
    <cellStyle name="20% - 강조색1 43" xfId="150"/>
    <cellStyle name="20% - 강조색1 43 2" xfId="151"/>
    <cellStyle name="20% - 강조색1 43 3" xfId="152"/>
    <cellStyle name="20% - 강조색1 43_Sheet1" xfId="153"/>
    <cellStyle name="20% - 강조색1 44" xfId="154"/>
    <cellStyle name="20% - 강조색1 44 2" xfId="155"/>
    <cellStyle name="20% - 강조색1 44 3" xfId="156"/>
    <cellStyle name="20% - 강조색1 44_Sheet1" xfId="157"/>
    <cellStyle name="20% - 강조색1 45" xfId="158"/>
    <cellStyle name="20% - 강조색1 45 2" xfId="159"/>
    <cellStyle name="20% - 강조색1 45 3" xfId="160"/>
    <cellStyle name="20% - 강조색1 45_Sheet1" xfId="161"/>
    <cellStyle name="20% - 강조색1 46" xfId="162"/>
    <cellStyle name="20% - 강조색1 47" xfId="163"/>
    <cellStyle name="20% - 강조색1 48" xfId="164"/>
    <cellStyle name="20% - 강조색1 49" xfId="165"/>
    <cellStyle name="20% - 강조색1 5" xfId="166"/>
    <cellStyle name="20% - 강조색1 5 2" xfId="167"/>
    <cellStyle name="20% - 강조색1 5 3" xfId="168"/>
    <cellStyle name="20% - 강조색1 5_Sheet1" xfId="169"/>
    <cellStyle name="20% - 강조색1 50" xfId="170"/>
    <cellStyle name="20% - 강조색1 51" xfId="171"/>
    <cellStyle name="20% - 강조색1 52" xfId="172"/>
    <cellStyle name="20% - 강조색1 53" xfId="173"/>
    <cellStyle name="20% - 강조색1 54" xfId="174"/>
    <cellStyle name="20% - 강조색1 55" xfId="175"/>
    <cellStyle name="20% - 강조색1 56" xfId="176"/>
    <cellStyle name="20% - 강조색1 57" xfId="177"/>
    <cellStyle name="20% - 강조색1 58" xfId="178"/>
    <cellStyle name="20% - 강조색1 59" xfId="179"/>
    <cellStyle name="20% - 강조색1 6" xfId="180"/>
    <cellStyle name="20% - 강조색1 6 2" xfId="181"/>
    <cellStyle name="20% - 강조색1 6 3" xfId="182"/>
    <cellStyle name="20% - 강조색1 6_Sheet1" xfId="183"/>
    <cellStyle name="20% - 강조색1 60" xfId="184"/>
    <cellStyle name="20% - 강조색1 61" xfId="185"/>
    <cellStyle name="20% - 강조색1 62" xfId="186"/>
    <cellStyle name="20% - 강조색1 63" xfId="187"/>
    <cellStyle name="20% - 강조색1 64" xfId="188"/>
    <cellStyle name="20% - 강조색1 65" xfId="189"/>
    <cellStyle name="20% - 강조색1 66" xfId="190"/>
    <cellStyle name="20% - 강조색1 67" xfId="191"/>
    <cellStyle name="20% - 강조색1 68" xfId="192"/>
    <cellStyle name="20% - 강조색1 69" xfId="193"/>
    <cellStyle name="20% - 강조색1 7" xfId="194"/>
    <cellStyle name="20% - 강조색1 7 2" xfId="195"/>
    <cellStyle name="20% - 강조색1 7 3" xfId="196"/>
    <cellStyle name="20% - 강조색1 7_Sheet1" xfId="197"/>
    <cellStyle name="20% - 강조색1 70" xfId="198"/>
    <cellStyle name="20% - 강조색1 71" xfId="199"/>
    <cellStyle name="20% - 강조색1 72" xfId="200"/>
    <cellStyle name="20% - 강조색1 73" xfId="201"/>
    <cellStyle name="20% - 강조색1 74" xfId="202"/>
    <cellStyle name="20% - 강조색1 75" xfId="203"/>
    <cellStyle name="20% - 강조색1 76" xfId="204"/>
    <cellStyle name="20% - 강조색1 77" xfId="205"/>
    <cellStyle name="20% - 강조색1 78" xfId="206"/>
    <cellStyle name="20% - 강조색1 79" xfId="207"/>
    <cellStyle name="20% - 강조색1 8" xfId="208"/>
    <cellStyle name="20% - 강조색1 8 2" xfId="209"/>
    <cellStyle name="20% - 강조색1 8 3" xfId="210"/>
    <cellStyle name="20% - 강조색1 8_Sheet1" xfId="211"/>
    <cellStyle name="20% - 강조색1 80" xfId="212"/>
    <cellStyle name="20% - 강조색1 81" xfId="213"/>
    <cellStyle name="20% - 강조색1 82" xfId="214"/>
    <cellStyle name="20% - 강조색1 83" xfId="215"/>
    <cellStyle name="20% - 강조색1 84" xfId="216"/>
    <cellStyle name="20% - 강조색1 85" xfId="217"/>
    <cellStyle name="20% - 강조색1 86" xfId="218"/>
    <cellStyle name="20% - 강조색1 87" xfId="219"/>
    <cellStyle name="20% - 강조색1 88" xfId="220"/>
    <cellStyle name="20% - 강조색1 89" xfId="221"/>
    <cellStyle name="20% - 강조색1 9" xfId="222"/>
    <cellStyle name="20% - 강조색1 9 2" xfId="223"/>
    <cellStyle name="20% - 강조색1 9 3" xfId="224"/>
    <cellStyle name="20% - 강조색1 9_Sheet1" xfId="225"/>
    <cellStyle name="20% - 강조색1 90" xfId="226"/>
    <cellStyle name="20% - 강조색1 91" xfId="227"/>
    <cellStyle name="20% - 강조색1 92" xfId="228"/>
    <cellStyle name="20% - 강조색1 93" xfId="229"/>
    <cellStyle name="20% - 강조색1 94" xfId="230"/>
    <cellStyle name="20% - 강조색1 95" xfId="231"/>
    <cellStyle name="20% - 강조색1 96" xfId="232"/>
    <cellStyle name="20% - 강조색1 97" xfId="233"/>
    <cellStyle name="20% - 강조색1 98" xfId="234"/>
    <cellStyle name="20% - 강조색1 99" xfId="235"/>
    <cellStyle name="20% - 강조색2 10" xfId="236"/>
    <cellStyle name="20% - 강조색2 10 2" xfId="237"/>
    <cellStyle name="20% - 강조색2 10 3" xfId="238"/>
    <cellStyle name="20% - 강조색2 10_Sheet1" xfId="239"/>
    <cellStyle name="20% - 강조색2 100" xfId="240"/>
    <cellStyle name="20% - 강조색2 101" xfId="241"/>
    <cellStyle name="20% - 강조색2 102" xfId="242"/>
    <cellStyle name="20% - 강조색2 103" xfId="243"/>
    <cellStyle name="20% - 강조색2 104" xfId="244"/>
    <cellStyle name="20% - 강조색2 105" xfId="245"/>
    <cellStyle name="20% - 강조색2 106" xfId="246"/>
    <cellStyle name="20% - 강조색2 107" xfId="247"/>
    <cellStyle name="20% - 강조색2 108" xfId="248"/>
    <cellStyle name="20% - 강조색2 109" xfId="249"/>
    <cellStyle name="20% - 강조색2 11" xfId="250"/>
    <cellStyle name="20% - 강조색2 11 2" xfId="251"/>
    <cellStyle name="20% - 강조색2 11 3" xfId="252"/>
    <cellStyle name="20% - 강조색2 11_Sheet1" xfId="253"/>
    <cellStyle name="20% - 강조색2 110" xfId="254"/>
    <cellStyle name="20% - 강조색2 111" xfId="255"/>
    <cellStyle name="20% - 강조색2 12" xfId="256"/>
    <cellStyle name="20% - 강조색2 12 2" xfId="257"/>
    <cellStyle name="20% - 강조색2 12 3" xfId="258"/>
    <cellStyle name="20% - 강조색2 12_Sheet1" xfId="259"/>
    <cellStyle name="20% - 강조색2 13" xfId="260"/>
    <cellStyle name="20% - 강조색2 13 2" xfId="261"/>
    <cellStyle name="20% - 강조색2 13 3" xfId="262"/>
    <cellStyle name="20% - 강조색2 13_Sheet1" xfId="263"/>
    <cellStyle name="20% - 강조색2 14" xfId="264"/>
    <cellStyle name="20% - 강조색2 14 2" xfId="265"/>
    <cellStyle name="20% - 강조색2 14 3" xfId="266"/>
    <cellStyle name="20% - 강조색2 14_Sheet1" xfId="267"/>
    <cellStyle name="20% - 강조색2 15" xfId="268"/>
    <cellStyle name="20% - 강조색2 15 2" xfId="269"/>
    <cellStyle name="20% - 강조색2 15 3" xfId="270"/>
    <cellStyle name="20% - 강조색2 15_Sheet1" xfId="271"/>
    <cellStyle name="20% - 강조색2 16" xfId="272"/>
    <cellStyle name="20% - 강조색2 16 2" xfId="273"/>
    <cellStyle name="20% - 강조색2 16 3" xfId="274"/>
    <cellStyle name="20% - 강조색2 16_Sheet1" xfId="275"/>
    <cellStyle name="20% - 강조색2 17" xfId="276"/>
    <cellStyle name="20% - 강조색2 17 2" xfId="277"/>
    <cellStyle name="20% - 강조색2 17 3" xfId="278"/>
    <cellStyle name="20% - 강조색2 17_Sheet1" xfId="279"/>
    <cellStyle name="20% - 강조색2 18" xfId="280"/>
    <cellStyle name="20% - 강조색2 18 2" xfId="281"/>
    <cellStyle name="20% - 강조색2 18 3" xfId="282"/>
    <cellStyle name="20% - 강조색2 18_Sheet1" xfId="283"/>
    <cellStyle name="20% - 강조색2 19" xfId="284"/>
    <cellStyle name="20% - 강조색2 19 2" xfId="285"/>
    <cellStyle name="20% - 강조색2 19 3" xfId="286"/>
    <cellStyle name="20% - 강조색2 19_Sheet1" xfId="287"/>
    <cellStyle name="20% - 강조색2 2" xfId="288"/>
    <cellStyle name="20% - 강조색2 20" xfId="289"/>
    <cellStyle name="20% - 강조색2 20 2" xfId="290"/>
    <cellStyle name="20% - 강조색2 20 3" xfId="291"/>
    <cellStyle name="20% - 강조색2 20_Sheet1" xfId="292"/>
    <cellStyle name="20% - 강조색2 21" xfId="293"/>
    <cellStyle name="20% - 강조색2 21 2" xfId="294"/>
    <cellStyle name="20% - 강조색2 21 3" xfId="295"/>
    <cellStyle name="20% - 강조색2 21_Sheet1" xfId="296"/>
    <cellStyle name="20% - 강조색2 22" xfId="297"/>
    <cellStyle name="20% - 강조색2 22 2" xfId="298"/>
    <cellStyle name="20% - 강조색2 22 3" xfId="299"/>
    <cellStyle name="20% - 강조색2 22_Sheet1" xfId="300"/>
    <cellStyle name="20% - 강조색2 23" xfId="301"/>
    <cellStyle name="20% - 강조색2 23 2" xfId="302"/>
    <cellStyle name="20% - 강조색2 23 3" xfId="303"/>
    <cellStyle name="20% - 강조색2 23_Sheet1" xfId="304"/>
    <cellStyle name="20% - 강조색2 24" xfId="305"/>
    <cellStyle name="20% - 강조색2 24 2" xfId="306"/>
    <cellStyle name="20% - 강조색2 24 3" xfId="307"/>
    <cellStyle name="20% - 강조색2 24_Sheet1" xfId="308"/>
    <cellStyle name="20% - 강조색2 25" xfId="309"/>
    <cellStyle name="20% - 강조색2 25 2" xfId="310"/>
    <cellStyle name="20% - 강조색2 25 3" xfId="311"/>
    <cellStyle name="20% - 강조색2 25_Sheet1" xfId="312"/>
    <cellStyle name="20% - 강조색2 26" xfId="313"/>
    <cellStyle name="20% - 강조색2 26 2" xfId="314"/>
    <cellStyle name="20% - 강조색2 26 3" xfId="315"/>
    <cellStyle name="20% - 강조색2 26_Sheet1" xfId="316"/>
    <cellStyle name="20% - 강조색2 27" xfId="317"/>
    <cellStyle name="20% - 강조색2 27 2" xfId="318"/>
    <cellStyle name="20% - 강조색2 27 3" xfId="319"/>
    <cellStyle name="20% - 강조색2 27_Sheet1" xfId="320"/>
    <cellStyle name="20% - 강조색2 28" xfId="321"/>
    <cellStyle name="20% - 강조색2 28 2" xfId="322"/>
    <cellStyle name="20% - 강조색2 28 3" xfId="323"/>
    <cellStyle name="20% - 강조색2 28_Sheet1" xfId="324"/>
    <cellStyle name="20% - 강조색2 29" xfId="325"/>
    <cellStyle name="20% - 강조색2 29 2" xfId="326"/>
    <cellStyle name="20% - 강조색2 29 3" xfId="327"/>
    <cellStyle name="20% - 강조색2 29_Sheet1" xfId="328"/>
    <cellStyle name="20% - 강조색2 3" xfId="329"/>
    <cellStyle name="20% - 강조색2 30" xfId="330"/>
    <cellStyle name="20% - 강조색2 30 2" xfId="331"/>
    <cellStyle name="20% - 강조색2 30 3" xfId="332"/>
    <cellStyle name="20% - 강조색2 30_Sheet1" xfId="333"/>
    <cellStyle name="20% - 강조색2 31" xfId="334"/>
    <cellStyle name="20% - 강조색2 31 2" xfId="335"/>
    <cellStyle name="20% - 강조색2 31 3" xfId="336"/>
    <cellStyle name="20% - 강조색2 31_Sheet1" xfId="337"/>
    <cellStyle name="20% - 강조색2 32" xfId="338"/>
    <cellStyle name="20% - 강조색2 32 2" xfId="339"/>
    <cellStyle name="20% - 강조색2 32 3" xfId="340"/>
    <cellStyle name="20% - 강조색2 32_Sheet1" xfId="341"/>
    <cellStyle name="20% - 강조색2 33" xfId="342"/>
    <cellStyle name="20% - 강조색2 33 2" xfId="343"/>
    <cellStyle name="20% - 강조색2 33 3" xfId="344"/>
    <cellStyle name="20% - 강조색2 33_Sheet1" xfId="345"/>
    <cellStyle name="20% - 강조색2 34" xfId="346"/>
    <cellStyle name="20% - 강조색2 34 2" xfId="347"/>
    <cellStyle name="20% - 강조색2 34 3" xfId="348"/>
    <cellStyle name="20% - 강조색2 34_Sheet1" xfId="349"/>
    <cellStyle name="20% - 강조색2 35" xfId="350"/>
    <cellStyle name="20% - 강조색2 35 2" xfId="351"/>
    <cellStyle name="20% - 강조색2 35 3" xfId="352"/>
    <cellStyle name="20% - 강조색2 35_Sheet1" xfId="353"/>
    <cellStyle name="20% - 강조색2 36" xfId="354"/>
    <cellStyle name="20% - 강조색2 36 2" xfId="355"/>
    <cellStyle name="20% - 강조색2 36 3" xfId="356"/>
    <cellStyle name="20% - 강조색2 36_Sheet1" xfId="357"/>
    <cellStyle name="20% - 강조색2 37" xfId="358"/>
    <cellStyle name="20% - 강조색2 37 2" xfId="359"/>
    <cellStyle name="20% - 강조색2 37 3" xfId="360"/>
    <cellStyle name="20% - 강조색2 37_Sheet1" xfId="361"/>
    <cellStyle name="20% - 강조색2 38" xfId="362"/>
    <cellStyle name="20% - 강조색2 38 2" xfId="363"/>
    <cellStyle name="20% - 강조색2 38 3" xfId="364"/>
    <cellStyle name="20% - 강조색2 38_Sheet1" xfId="365"/>
    <cellStyle name="20% - 강조색2 39" xfId="366"/>
    <cellStyle name="20% - 강조색2 39 2" xfId="367"/>
    <cellStyle name="20% - 강조색2 39 3" xfId="368"/>
    <cellStyle name="20% - 강조색2 39_Sheet1" xfId="369"/>
    <cellStyle name="20% - 강조색2 4" xfId="370"/>
    <cellStyle name="20% - 강조색2 40" xfId="371"/>
    <cellStyle name="20% - 강조색2 40 2" xfId="372"/>
    <cellStyle name="20% - 강조색2 40 3" xfId="373"/>
    <cellStyle name="20% - 강조색2 40_Sheet1" xfId="374"/>
    <cellStyle name="20% - 강조색2 41" xfId="375"/>
    <cellStyle name="20% - 강조색2 41 2" xfId="376"/>
    <cellStyle name="20% - 강조색2 41 3" xfId="377"/>
    <cellStyle name="20% - 강조색2 41_Sheet1" xfId="378"/>
    <cellStyle name="20% - 강조색2 42" xfId="379"/>
    <cellStyle name="20% - 강조색2 42 2" xfId="380"/>
    <cellStyle name="20% - 강조색2 42 3" xfId="381"/>
    <cellStyle name="20% - 강조색2 42_Sheet1" xfId="382"/>
    <cellStyle name="20% - 강조색2 43" xfId="383"/>
    <cellStyle name="20% - 강조색2 43 2" xfId="384"/>
    <cellStyle name="20% - 강조색2 43 3" xfId="385"/>
    <cellStyle name="20% - 강조색2 43_Sheet1" xfId="386"/>
    <cellStyle name="20% - 강조색2 44" xfId="387"/>
    <cellStyle name="20% - 강조색2 44 2" xfId="388"/>
    <cellStyle name="20% - 강조색2 44 3" xfId="389"/>
    <cellStyle name="20% - 강조색2 44_Sheet1" xfId="390"/>
    <cellStyle name="20% - 강조색2 45" xfId="391"/>
    <cellStyle name="20% - 강조색2 45 2" xfId="392"/>
    <cellStyle name="20% - 강조색2 45 3" xfId="393"/>
    <cellStyle name="20% - 강조색2 45_Sheet1" xfId="394"/>
    <cellStyle name="20% - 강조색2 46" xfId="395"/>
    <cellStyle name="20% - 강조색2 47" xfId="396"/>
    <cellStyle name="20% - 강조색2 48" xfId="397"/>
    <cellStyle name="20% - 강조색2 49" xfId="398"/>
    <cellStyle name="20% - 강조색2 5" xfId="399"/>
    <cellStyle name="20% - 강조색2 5 2" xfId="400"/>
    <cellStyle name="20% - 강조색2 5 3" xfId="401"/>
    <cellStyle name="20% - 강조색2 5_Sheet1" xfId="402"/>
    <cellStyle name="20% - 강조색2 50" xfId="403"/>
    <cellStyle name="20% - 강조색2 51" xfId="404"/>
    <cellStyle name="20% - 강조색2 52" xfId="405"/>
    <cellStyle name="20% - 강조색2 53" xfId="406"/>
    <cellStyle name="20% - 강조색2 54" xfId="407"/>
    <cellStyle name="20% - 강조색2 55" xfId="408"/>
    <cellStyle name="20% - 강조색2 56" xfId="409"/>
    <cellStyle name="20% - 강조색2 57" xfId="410"/>
    <cellStyle name="20% - 강조색2 58" xfId="411"/>
    <cellStyle name="20% - 강조색2 59" xfId="412"/>
    <cellStyle name="20% - 강조색2 6" xfId="413"/>
    <cellStyle name="20% - 강조색2 6 2" xfId="414"/>
    <cellStyle name="20% - 강조색2 6 3" xfId="415"/>
    <cellStyle name="20% - 강조색2 6_Sheet1" xfId="416"/>
    <cellStyle name="20% - 강조색2 60" xfId="417"/>
    <cellStyle name="20% - 강조색2 61" xfId="418"/>
    <cellStyle name="20% - 강조색2 62" xfId="419"/>
    <cellStyle name="20% - 강조색2 63" xfId="420"/>
    <cellStyle name="20% - 강조색2 64" xfId="421"/>
    <cellStyle name="20% - 강조색2 65" xfId="422"/>
    <cellStyle name="20% - 강조색2 66" xfId="423"/>
    <cellStyle name="20% - 강조색2 67" xfId="424"/>
    <cellStyle name="20% - 강조색2 68" xfId="425"/>
    <cellStyle name="20% - 강조색2 69" xfId="426"/>
    <cellStyle name="20% - 강조색2 7" xfId="427"/>
    <cellStyle name="20% - 강조색2 7 2" xfId="428"/>
    <cellStyle name="20% - 강조색2 7 3" xfId="429"/>
    <cellStyle name="20% - 강조색2 7_Sheet1" xfId="430"/>
    <cellStyle name="20% - 강조색2 70" xfId="431"/>
    <cellStyle name="20% - 강조색2 71" xfId="432"/>
    <cellStyle name="20% - 강조색2 72" xfId="433"/>
    <cellStyle name="20% - 강조색2 73" xfId="434"/>
    <cellStyle name="20% - 강조색2 74" xfId="435"/>
    <cellStyle name="20% - 강조색2 75" xfId="436"/>
    <cellStyle name="20% - 강조색2 76" xfId="437"/>
    <cellStyle name="20% - 강조색2 77" xfId="438"/>
    <cellStyle name="20% - 강조색2 78" xfId="439"/>
    <cellStyle name="20% - 강조색2 79" xfId="440"/>
    <cellStyle name="20% - 강조색2 8" xfId="441"/>
    <cellStyle name="20% - 강조색2 8 2" xfId="442"/>
    <cellStyle name="20% - 강조색2 8 3" xfId="443"/>
    <cellStyle name="20% - 강조색2 8_Sheet1" xfId="444"/>
    <cellStyle name="20% - 강조색2 80" xfId="445"/>
    <cellStyle name="20% - 강조색2 81" xfId="446"/>
    <cellStyle name="20% - 강조색2 82" xfId="447"/>
    <cellStyle name="20% - 강조색2 83" xfId="448"/>
    <cellStyle name="20% - 강조색2 84" xfId="449"/>
    <cellStyle name="20% - 강조색2 85" xfId="450"/>
    <cellStyle name="20% - 강조색2 86" xfId="451"/>
    <cellStyle name="20% - 강조색2 87" xfId="452"/>
    <cellStyle name="20% - 강조색2 88" xfId="453"/>
    <cellStyle name="20% - 강조색2 89" xfId="454"/>
    <cellStyle name="20% - 강조색2 9" xfId="455"/>
    <cellStyle name="20% - 강조색2 9 2" xfId="456"/>
    <cellStyle name="20% - 강조색2 9 3" xfId="457"/>
    <cellStyle name="20% - 강조색2 9_Sheet1" xfId="458"/>
    <cellStyle name="20% - 강조색2 90" xfId="459"/>
    <cellStyle name="20% - 강조색2 91" xfId="460"/>
    <cellStyle name="20% - 강조색2 92" xfId="461"/>
    <cellStyle name="20% - 강조색2 93" xfId="462"/>
    <cellStyle name="20% - 강조색2 94" xfId="463"/>
    <cellStyle name="20% - 강조색2 95" xfId="464"/>
    <cellStyle name="20% - 강조색2 96" xfId="465"/>
    <cellStyle name="20% - 강조색2 97" xfId="466"/>
    <cellStyle name="20% - 강조색2 98" xfId="467"/>
    <cellStyle name="20% - 강조색2 99" xfId="468"/>
    <cellStyle name="20% - 강조색3 10" xfId="469"/>
    <cellStyle name="20% - 강조색3 10 2" xfId="470"/>
    <cellStyle name="20% - 강조색3 10 3" xfId="471"/>
    <cellStyle name="20% - 강조색3 10_Sheet1" xfId="472"/>
    <cellStyle name="20% - 강조색3 100" xfId="473"/>
    <cellStyle name="20% - 강조색3 101" xfId="474"/>
    <cellStyle name="20% - 강조색3 102" xfId="475"/>
    <cellStyle name="20% - 강조색3 103" xfId="476"/>
    <cellStyle name="20% - 강조색3 104" xfId="477"/>
    <cellStyle name="20% - 강조색3 105" xfId="478"/>
    <cellStyle name="20% - 강조색3 106" xfId="479"/>
    <cellStyle name="20% - 강조색3 107" xfId="480"/>
    <cellStyle name="20% - 강조색3 108" xfId="481"/>
    <cellStyle name="20% - 강조색3 109" xfId="482"/>
    <cellStyle name="20% - 강조색3 11" xfId="483"/>
    <cellStyle name="20% - 강조색3 11 2" xfId="484"/>
    <cellStyle name="20% - 강조색3 11 3" xfId="485"/>
    <cellStyle name="20% - 강조색3 11_Sheet1" xfId="486"/>
    <cellStyle name="20% - 강조색3 110" xfId="487"/>
    <cellStyle name="20% - 강조색3 111" xfId="488"/>
    <cellStyle name="20% - 강조색3 12" xfId="489"/>
    <cellStyle name="20% - 강조색3 12 2" xfId="490"/>
    <cellStyle name="20% - 강조색3 12 3" xfId="491"/>
    <cellStyle name="20% - 강조색3 12_Sheet1" xfId="492"/>
    <cellStyle name="20% - 강조색3 13" xfId="493"/>
    <cellStyle name="20% - 강조색3 13 2" xfId="494"/>
    <cellStyle name="20% - 강조색3 13 3" xfId="495"/>
    <cellStyle name="20% - 강조색3 13_Sheet1" xfId="496"/>
    <cellStyle name="20% - 강조색3 14" xfId="497"/>
    <cellStyle name="20% - 강조색3 14 2" xfId="498"/>
    <cellStyle name="20% - 강조색3 14 3" xfId="499"/>
    <cellStyle name="20% - 강조색3 14_Sheet1" xfId="500"/>
    <cellStyle name="20% - 강조색3 15" xfId="501"/>
    <cellStyle name="20% - 강조색3 15 2" xfId="502"/>
    <cellStyle name="20% - 강조색3 15 3" xfId="503"/>
    <cellStyle name="20% - 강조색3 15_Sheet1" xfId="504"/>
    <cellStyle name="20% - 강조색3 16" xfId="505"/>
    <cellStyle name="20% - 강조색3 16 2" xfId="506"/>
    <cellStyle name="20% - 강조색3 16 3" xfId="507"/>
    <cellStyle name="20% - 강조색3 16_Sheet1" xfId="508"/>
    <cellStyle name="20% - 강조색3 17" xfId="509"/>
    <cellStyle name="20% - 강조색3 17 2" xfId="510"/>
    <cellStyle name="20% - 강조색3 17 3" xfId="511"/>
    <cellStyle name="20% - 강조색3 17_Sheet1" xfId="512"/>
    <cellStyle name="20% - 강조색3 18" xfId="513"/>
    <cellStyle name="20% - 강조색3 18 2" xfId="514"/>
    <cellStyle name="20% - 강조색3 18 3" xfId="515"/>
    <cellStyle name="20% - 강조색3 18_Sheet1" xfId="516"/>
    <cellStyle name="20% - 강조색3 19" xfId="517"/>
    <cellStyle name="20% - 강조색3 19 2" xfId="518"/>
    <cellStyle name="20% - 강조색3 19 3" xfId="519"/>
    <cellStyle name="20% - 강조색3 19_Sheet1" xfId="520"/>
    <cellStyle name="20% - 강조색3 2" xfId="521"/>
    <cellStyle name="20% - 강조색3 20" xfId="522"/>
    <cellStyle name="20% - 강조색3 20 2" xfId="523"/>
    <cellStyle name="20% - 강조색3 20 3" xfId="524"/>
    <cellStyle name="20% - 강조색3 20_Sheet1" xfId="525"/>
    <cellStyle name="20% - 강조색3 21" xfId="526"/>
    <cellStyle name="20% - 강조색3 21 2" xfId="527"/>
    <cellStyle name="20% - 강조색3 21 3" xfId="528"/>
    <cellStyle name="20% - 강조색3 21_Sheet1" xfId="529"/>
    <cellStyle name="20% - 강조색3 22" xfId="530"/>
    <cellStyle name="20% - 강조색3 22 2" xfId="531"/>
    <cellStyle name="20% - 강조색3 22 3" xfId="532"/>
    <cellStyle name="20% - 강조색3 22_Sheet1" xfId="533"/>
    <cellStyle name="20% - 강조색3 23" xfId="534"/>
    <cellStyle name="20% - 강조색3 23 2" xfId="535"/>
    <cellStyle name="20% - 강조색3 23 3" xfId="536"/>
    <cellStyle name="20% - 강조색3 23_Sheet1" xfId="537"/>
    <cellStyle name="20% - 강조색3 24" xfId="538"/>
    <cellStyle name="20% - 강조색3 24 2" xfId="539"/>
    <cellStyle name="20% - 강조색3 24 3" xfId="540"/>
    <cellStyle name="20% - 강조색3 24_Sheet1" xfId="541"/>
    <cellStyle name="20% - 강조색3 25" xfId="542"/>
    <cellStyle name="20% - 강조색3 25 2" xfId="543"/>
    <cellStyle name="20% - 강조색3 25 3" xfId="544"/>
    <cellStyle name="20% - 강조색3 25_Sheet1" xfId="545"/>
    <cellStyle name="20% - 강조색3 26" xfId="546"/>
    <cellStyle name="20% - 강조색3 26 2" xfId="547"/>
    <cellStyle name="20% - 강조색3 26 3" xfId="548"/>
    <cellStyle name="20% - 강조색3 26_Sheet1" xfId="549"/>
    <cellStyle name="20% - 강조색3 27" xfId="550"/>
    <cellStyle name="20% - 강조색3 27 2" xfId="551"/>
    <cellStyle name="20% - 강조색3 27 3" xfId="552"/>
    <cellStyle name="20% - 강조색3 27_Sheet1" xfId="553"/>
    <cellStyle name="20% - 강조색3 28" xfId="554"/>
    <cellStyle name="20% - 강조색3 28 2" xfId="555"/>
    <cellStyle name="20% - 강조색3 28 3" xfId="556"/>
    <cellStyle name="20% - 강조색3 28_Sheet1" xfId="557"/>
    <cellStyle name="20% - 강조색3 29" xfId="558"/>
    <cellStyle name="20% - 강조색3 29 2" xfId="559"/>
    <cellStyle name="20% - 강조색3 29 3" xfId="560"/>
    <cellStyle name="20% - 강조색3 29_Sheet1" xfId="561"/>
    <cellStyle name="20% - 강조색3 3" xfId="562"/>
    <cellStyle name="20% - 강조색3 30" xfId="563"/>
    <cellStyle name="20% - 강조색3 30 2" xfId="564"/>
    <cellStyle name="20% - 강조색3 30 3" xfId="565"/>
    <cellStyle name="20% - 강조색3 30_Sheet1" xfId="566"/>
    <cellStyle name="20% - 강조색3 31" xfId="567"/>
    <cellStyle name="20% - 강조색3 31 2" xfId="568"/>
    <cellStyle name="20% - 강조색3 31 3" xfId="569"/>
    <cellStyle name="20% - 강조색3 31_Sheet1" xfId="570"/>
    <cellStyle name="20% - 강조색3 32" xfId="571"/>
    <cellStyle name="20% - 강조색3 32 2" xfId="572"/>
    <cellStyle name="20% - 강조색3 32 3" xfId="573"/>
    <cellStyle name="20% - 강조색3 32_Sheet1" xfId="574"/>
    <cellStyle name="20% - 강조색3 33" xfId="575"/>
    <cellStyle name="20% - 강조색3 33 2" xfId="576"/>
    <cellStyle name="20% - 강조색3 33 3" xfId="577"/>
    <cellStyle name="20% - 강조색3 33_Sheet1" xfId="578"/>
    <cellStyle name="20% - 강조색3 34" xfId="579"/>
    <cellStyle name="20% - 강조색3 34 2" xfId="580"/>
    <cellStyle name="20% - 강조색3 34 3" xfId="581"/>
    <cellStyle name="20% - 강조색3 34_Sheet1" xfId="582"/>
    <cellStyle name="20% - 강조색3 35" xfId="583"/>
    <cellStyle name="20% - 강조색3 35 2" xfId="584"/>
    <cellStyle name="20% - 강조색3 35 3" xfId="585"/>
    <cellStyle name="20% - 강조색3 35_Sheet1" xfId="586"/>
    <cellStyle name="20% - 강조색3 36" xfId="587"/>
    <cellStyle name="20% - 강조색3 36 2" xfId="588"/>
    <cellStyle name="20% - 강조색3 36 3" xfId="589"/>
    <cellStyle name="20% - 강조색3 36_Sheet1" xfId="590"/>
    <cellStyle name="20% - 강조색3 37" xfId="591"/>
    <cellStyle name="20% - 강조색3 37 2" xfId="592"/>
    <cellStyle name="20% - 강조색3 37 3" xfId="593"/>
    <cellStyle name="20% - 강조색3 37_Sheet1" xfId="594"/>
    <cellStyle name="20% - 강조색3 38" xfId="595"/>
    <cellStyle name="20% - 강조색3 38 2" xfId="596"/>
    <cellStyle name="20% - 강조색3 38 3" xfId="597"/>
    <cellStyle name="20% - 강조색3 38_Sheet1" xfId="598"/>
    <cellStyle name="20% - 강조색3 39" xfId="599"/>
    <cellStyle name="20% - 강조색3 39 2" xfId="600"/>
    <cellStyle name="20% - 강조색3 39 3" xfId="601"/>
    <cellStyle name="20% - 강조색3 39_Sheet1" xfId="602"/>
    <cellStyle name="20% - 강조색3 4" xfId="603"/>
    <cellStyle name="20% - 강조색3 40" xfId="604"/>
    <cellStyle name="20% - 강조색3 40 2" xfId="605"/>
    <cellStyle name="20% - 강조색3 40 3" xfId="606"/>
    <cellStyle name="20% - 강조색3 40_Sheet1" xfId="607"/>
    <cellStyle name="20% - 강조색3 41" xfId="608"/>
    <cellStyle name="20% - 강조색3 41 2" xfId="609"/>
    <cellStyle name="20% - 강조색3 41 3" xfId="610"/>
    <cellStyle name="20% - 강조색3 41_Sheet1" xfId="611"/>
    <cellStyle name="20% - 강조색3 42" xfId="612"/>
    <cellStyle name="20% - 강조색3 42 2" xfId="613"/>
    <cellStyle name="20% - 강조색3 42 3" xfId="614"/>
    <cellStyle name="20% - 강조색3 42_Sheet1" xfId="615"/>
    <cellStyle name="20% - 강조색3 43" xfId="616"/>
    <cellStyle name="20% - 강조색3 43 2" xfId="617"/>
    <cellStyle name="20% - 강조색3 43 3" xfId="618"/>
    <cellStyle name="20% - 강조색3 43_Sheet1" xfId="619"/>
    <cellStyle name="20% - 강조색3 44" xfId="620"/>
    <cellStyle name="20% - 강조색3 44 2" xfId="621"/>
    <cellStyle name="20% - 강조색3 44 3" xfId="622"/>
    <cellStyle name="20% - 강조색3 44_Sheet1" xfId="623"/>
    <cellStyle name="20% - 강조색3 45" xfId="624"/>
    <cellStyle name="20% - 강조색3 45 2" xfId="625"/>
    <cellStyle name="20% - 강조색3 45 3" xfId="626"/>
    <cellStyle name="20% - 강조색3 45_Sheet1" xfId="627"/>
    <cellStyle name="20% - 강조색3 46" xfId="628"/>
    <cellStyle name="20% - 강조색3 47" xfId="629"/>
    <cellStyle name="20% - 강조색3 48" xfId="630"/>
    <cellStyle name="20% - 강조색3 49" xfId="631"/>
    <cellStyle name="20% - 강조색3 5" xfId="632"/>
    <cellStyle name="20% - 강조색3 5 2" xfId="633"/>
    <cellStyle name="20% - 강조색3 5 3" xfId="634"/>
    <cellStyle name="20% - 강조색3 5_Sheet1" xfId="635"/>
    <cellStyle name="20% - 강조색3 50" xfId="636"/>
    <cellStyle name="20% - 강조색3 51" xfId="637"/>
    <cellStyle name="20% - 강조색3 52" xfId="638"/>
    <cellStyle name="20% - 강조색3 53" xfId="639"/>
    <cellStyle name="20% - 강조색3 54" xfId="640"/>
    <cellStyle name="20% - 강조색3 55" xfId="641"/>
    <cellStyle name="20% - 강조색3 56" xfId="642"/>
    <cellStyle name="20% - 강조색3 57" xfId="643"/>
    <cellStyle name="20% - 강조색3 58" xfId="644"/>
    <cellStyle name="20% - 강조색3 59" xfId="645"/>
    <cellStyle name="20% - 강조색3 6" xfId="646"/>
    <cellStyle name="20% - 강조색3 6 2" xfId="647"/>
    <cellStyle name="20% - 강조색3 6 3" xfId="648"/>
    <cellStyle name="20% - 강조색3 6_Sheet1" xfId="649"/>
    <cellStyle name="20% - 강조색3 60" xfId="650"/>
    <cellStyle name="20% - 강조색3 61" xfId="651"/>
    <cellStyle name="20% - 강조색3 62" xfId="652"/>
    <cellStyle name="20% - 강조색3 63" xfId="653"/>
    <cellStyle name="20% - 강조색3 64" xfId="654"/>
    <cellStyle name="20% - 강조색3 65" xfId="655"/>
    <cellStyle name="20% - 강조색3 66" xfId="656"/>
    <cellStyle name="20% - 강조색3 67" xfId="657"/>
    <cellStyle name="20% - 강조색3 68" xfId="658"/>
    <cellStyle name="20% - 강조색3 69" xfId="659"/>
    <cellStyle name="20% - 강조색3 7" xfId="660"/>
    <cellStyle name="20% - 강조색3 7 2" xfId="661"/>
    <cellStyle name="20% - 강조색3 7 3" xfId="662"/>
    <cellStyle name="20% - 강조색3 7_Sheet1" xfId="663"/>
    <cellStyle name="20% - 강조색3 70" xfId="664"/>
    <cellStyle name="20% - 강조색3 71" xfId="665"/>
    <cellStyle name="20% - 강조색3 72" xfId="666"/>
    <cellStyle name="20% - 강조색3 73" xfId="667"/>
    <cellStyle name="20% - 강조색3 74" xfId="668"/>
    <cellStyle name="20% - 강조색3 75" xfId="669"/>
    <cellStyle name="20% - 강조색3 76" xfId="670"/>
    <cellStyle name="20% - 강조색3 77" xfId="671"/>
    <cellStyle name="20% - 강조색3 78" xfId="672"/>
    <cellStyle name="20% - 강조색3 79" xfId="673"/>
    <cellStyle name="20% - 강조색3 8" xfId="674"/>
    <cellStyle name="20% - 강조색3 8 2" xfId="675"/>
    <cellStyle name="20% - 강조색3 8 3" xfId="676"/>
    <cellStyle name="20% - 강조색3 8_Sheet1" xfId="677"/>
    <cellStyle name="20% - 강조색3 80" xfId="678"/>
    <cellStyle name="20% - 강조색3 81" xfId="679"/>
    <cellStyle name="20% - 강조색3 82" xfId="680"/>
    <cellStyle name="20% - 강조색3 83" xfId="681"/>
    <cellStyle name="20% - 강조색3 84" xfId="682"/>
    <cellStyle name="20% - 강조색3 85" xfId="683"/>
    <cellStyle name="20% - 강조색3 86" xfId="684"/>
    <cellStyle name="20% - 강조색3 87" xfId="685"/>
    <cellStyle name="20% - 강조색3 88" xfId="686"/>
    <cellStyle name="20% - 강조색3 89" xfId="687"/>
    <cellStyle name="20% - 강조색3 9" xfId="688"/>
    <cellStyle name="20% - 강조색3 9 2" xfId="689"/>
    <cellStyle name="20% - 강조색3 9 3" xfId="690"/>
    <cellStyle name="20% - 강조색3 9_Sheet1" xfId="691"/>
    <cellStyle name="20% - 강조색3 90" xfId="692"/>
    <cellStyle name="20% - 강조색3 91" xfId="693"/>
    <cellStyle name="20% - 강조색3 92" xfId="694"/>
    <cellStyle name="20% - 강조색3 93" xfId="695"/>
    <cellStyle name="20% - 강조색3 94" xfId="696"/>
    <cellStyle name="20% - 강조색3 95" xfId="697"/>
    <cellStyle name="20% - 강조색3 96" xfId="698"/>
    <cellStyle name="20% - 강조색3 97" xfId="699"/>
    <cellStyle name="20% - 강조색3 98" xfId="700"/>
    <cellStyle name="20% - 강조색3 99" xfId="701"/>
    <cellStyle name="20% - 강조색4 10" xfId="702"/>
    <cellStyle name="20% - 강조색4 10 2" xfId="703"/>
    <cellStyle name="20% - 강조색4 10 3" xfId="704"/>
    <cellStyle name="20% - 강조색4 10_Sheet1" xfId="705"/>
    <cellStyle name="20% - 강조색4 100" xfId="706"/>
    <cellStyle name="20% - 강조색4 101" xfId="707"/>
    <cellStyle name="20% - 강조색4 102" xfId="708"/>
    <cellStyle name="20% - 강조색4 103" xfId="709"/>
    <cellStyle name="20% - 강조색4 104" xfId="710"/>
    <cellStyle name="20% - 강조색4 105" xfId="711"/>
    <cellStyle name="20% - 강조색4 106" xfId="712"/>
    <cellStyle name="20% - 강조색4 107" xfId="713"/>
    <cellStyle name="20% - 강조색4 108" xfId="714"/>
    <cellStyle name="20% - 강조색4 109" xfId="715"/>
    <cellStyle name="20% - 강조색4 11" xfId="716"/>
    <cellStyle name="20% - 강조색4 11 2" xfId="717"/>
    <cellStyle name="20% - 강조색4 11 3" xfId="718"/>
    <cellStyle name="20% - 강조색4 11_Sheet1" xfId="719"/>
    <cellStyle name="20% - 강조색4 110" xfId="720"/>
    <cellStyle name="20% - 강조색4 111" xfId="721"/>
    <cellStyle name="20% - 강조색4 12" xfId="722"/>
    <cellStyle name="20% - 강조색4 12 2" xfId="723"/>
    <cellStyle name="20% - 강조색4 12 3" xfId="724"/>
    <cellStyle name="20% - 강조색4 12_Sheet1" xfId="725"/>
    <cellStyle name="20% - 강조색4 13" xfId="726"/>
    <cellStyle name="20% - 강조색4 13 2" xfId="727"/>
    <cellStyle name="20% - 강조색4 13 3" xfId="728"/>
    <cellStyle name="20% - 강조색4 13_Sheet1" xfId="729"/>
    <cellStyle name="20% - 강조색4 14" xfId="730"/>
    <cellStyle name="20% - 강조색4 14 2" xfId="731"/>
    <cellStyle name="20% - 강조색4 14 3" xfId="732"/>
    <cellStyle name="20% - 강조색4 14_Sheet1" xfId="733"/>
    <cellStyle name="20% - 강조색4 15" xfId="734"/>
    <cellStyle name="20% - 강조색4 15 2" xfId="735"/>
    <cellStyle name="20% - 강조색4 15 3" xfId="736"/>
    <cellStyle name="20% - 강조색4 15_Sheet1" xfId="737"/>
    <cellStyle name="20% - 강조색4 16" xfId="738"/>
    <cellStyle name="20% - 강조색4 16 2" xfId="739"/>
    <cellStyle name="20% - 강조색4 16 3" xfId="740"/>
    <cellStyle name="20% - 강조색4 16_Sheet1" xfId="741"/>
    <cellStyle name="20% - 강조색4 17" xfId="742"/>
    <cellStyle name="20% - 강조색4 17 2" xfId="743"/>
    <cellStyle name="20% - 강조색4 17 3" xfId="744"/>
    <cellStyle name="20% - 강조색4 17_Sheet1" xfId="745"/>
    <cellStyle name="20% - 강조색4 18" xfId="746"/>
    <cellStyle name="20% - 강조색4 18 2" xfId="747"/>
    <cellStyle name="20% - 강조색4 18 3" xfId="748"/>
    <cellStyle name="20% - 강조색4 18_Sheet1" xfId="749"/>
    <cellStyle name="20% - 강조색4 19" xfId="750"/>
    <cellStyle name="20% - 강조색4 19 2" xfId="751"/>
    <cellStyle name="20% - 강조색4 19 3" xfId="752"/>
    <cellStyle name="20% - 강조색4 19_Sheet1" xfId="753"/>
    <cellStyle name="20% - 강조색4 2" xfId="754"/>
    <cellStyle name="20% - 강조색4 20" xfId="755"/>
    <cellStyle name="20% - 강조색4 20 2" xfId="756"/>
    <cellStyle name="20% - 강조색4 20 3" xfId="757"/>
    <cellStyle name="20% - 강조색4 20_Sheet1" xfId="758"/>
    <cellStyle name="20% - 강조색4 21" xfId="759"/>
    <cellStyle name="20% - 강조색4 21 2" xfId="760"/>
    <cellStyle name="20% - 강조색4 21 3" xfId="761"/>
    <cellStyle name="20% - 강조색4 21_Sheet1" xfId="762"/>
    <cellStyle name="20% - 강조색4 22" xfId="763"/>
    <cellStyle name="20% - 강조색4 22 2" xfId="764"/>
    <cellStyle name="20% - 강조색4 22 3" xfId="765"/>
    <cellStyle name="20% - 강조색4 22_Sheet1" xfId="766"/>
    <cellStyle name="20% - 강조색4 23" xfId="767"/>
    <cellStyle name="20% - 강조색4 23 2" xfId="768"/>
    <cellStyle name="20% - 강조색4 23 3" xfId="769"/>
    <cellStyle name="20% - 강조색4 23_Sheet1" xfId="770"/>
    <cellStyle name="20% - 강조색4 24" xfId="771"/>
    <cellStyle name="20% - 강조색4 24 2" xfId="772"/>
    <cellStyle name="20% - 강조색4 24 3" xfId="773"/>
    <cellStyle name="20% - 강조색4 24_Sheet1" xfId="774"/>
    <cellStyle name="20% - 강조색4 25" xfId="775"/>
    <cellStyle name="20% - 강조색4 25 2" xfId="776"/>
    <cellStyle name="20% - 강조색4 25 3" xfId="777"/>
    <cellStyle name="20% - 강조색4 25_Sheet1" xfId="778"/>
    <cellStyle name="20% - 강조색4 26" xfId="779"/>
    <cellStyle name="20% - 강조색4 26 2" xfId="780"/>
    <cellStyle name="20% - 강조색4 26 3" xfId="781"/>
    <cellStyle name="20% - 강조색4 26_Sheet1" xfId="782"/>
    <cellStyle name="20% - 강조색4 27" xfId="783"/>
    <cellStyle name="20% - 강조색4 27 2" xfId="784"/>
    <cellStyle name="20% - 강조색4 27 3" xfId="785"/>
    <cellStyle name="20% - 강조색4 27_Sheet1" xfId="786"/>
    <cellStyle name="20% - 강조색4 28" xfId="787"/>
    <cellStyle name="20% - 강조색4 28 2" xfId="788"/>
    <cellStyle name="20% - 강조색4 28 3" xfId="789"/>
    <cellStyle name="20% - 강조색4 28_Sheet1" xfId="790"/>
    <cellStyle name="20% - 강조색4 29" xfId="791"/>
    <cellStyle name="20% - 강조색4 29 2" xfId="792"/>
    <cellStyle name="20% - 강조색4 29 3" xfId="793"/>
    <cellStyle name="20% - 강조색4 29_Sheet1" xfId="794"/>
    <cellStyle name="20% - 강조색4 3" xfId="795"/>
    <cellStyle name="20% - 강조색4 30" xfId="796"/>
    <cellStyle name="20% - 강조색4 30 2" xfId="797"/>
    <cellStyle name="20% - 강조색4 30 3" xfId="798"/>
    <cellStyle name="20% - 강조색4 30_Sheet1" xfId="799"/>
    <cellStyle name="20% - 강조색4 31" xfId="800"/>
    <cellStyle name="20% - 강조색4 31 2" xfId="801"/>
    <cellStyle name="20% - 강조색4 31 3" xfId="802"/>
    <cellStyle name="20% - 강조색4 31_Sheet1" xfId="803"/>
    <cellStyle name="20% - 강조색4 32" xfId="804"/>
    <cellStyle name="20% - 강조색4 32 2" xfId="805"/>
    <cellStyle name="20% - 강조색4 32 3" xfId="806"/>
    <cellStyle name="20% - 강조색4 32_Sheet1" xfId="807"/>
    <cellStyle name="20% - 강조색4 33" xfId="808"/>
    <cellStyle name="20% - 강조색4 33 2" xfId="809"/>
    <cellStyle name="20% - 강조색4 33 3" xfId="810"/>
    <cellStyle name="20% - 강조색4 33_Sheet1" xfId="811"/>
    <cellStyle name="20% - 강조색4 34" xfId="812"/>
    <cellStyle name="20% - 강조색4 34 2" xfId="813"/>
    <cellStyle name="20% - 강조색4 34 3" xfId="814"/>
    <cellStyle name="20% - 강조색4 34_Sheet1" xfId="815"/>
    <cellStyle name="20% - 강조색4 35" xfId="816"/>
    <cellStyle name="20% - 강조색4 35 2" xfId="817"/>
    <cellStyle name="20% - 강조색4 35 3" xfId="818"/>
    <cellStyle name="20% - 강조색4 35_Sheet1" xfId="819"/>
    <cellStyle name="20% - 강조색4 36" xfId="820"/>
    <cellStyle name="20% - 강조색4 36 2" xfId="821"/>
    <cellStyle name="20% - 강조색4 36 3" xfId="822"/>
    <cellStyle name="20% - 강조색4 36_Sheet1" xfId="823"/>
    <cellStyle name="20% - 강조색4 37" xfId="824"/>
    <cellStyle name="20% - 강조색4 37 2" xfId="825"/>
    <cellStyle name="20% - 강조색4 37 3" xfId="826"/>
    <cellStyle name="20% - 강조색4 37_Sheet1" xfId="827"/>
    <cellStyle name="20% - 강조색4 38" xfId="828"/>
    <cellStyle name="20% - 강조색4 38 2" xfId="829"/>
    <cellStyle name="20% - 강조색4 38 3" xfId="830"/>
    <cellStyle name="20% - 강조색4 38_Sheet1" xfId="831"/>
    <cellStyle name="20% - 강조색4 39" xfId="832"/>
    <cellStyle name="20% - 강조색4 39 2" xfId="833"/>
    <cellStyle name="20% - 강조색4 39 3" xfId="834"/>
    <cellStyle name="20% - 강조색4 39_Sheet1" xfId="835"/>
    <cellStyle name="20% - 강조색4 4" xfId="836"/>
    <cellStyle name="20% - 강조색4 40" xfId="837"/>
    <cellStyle name="20% - 강조색4 40 2" xfId="838"/>
    <cellStyle name="20% - 강조색4 40 3" xfId="839"/>
    <cellStyle name="20% - 강조색4 40_Sheet1" xfId="840"/>
    <cellStyle name="20% - 강조색4 41" xfId="841"/>
    <cellStyle name="20% - 강조색4 41 2" xfId="842"/>
    <cellStyle name="20% - 강조색4 41 3" xfId="843"/>
    <cellStyle name="20% - 강조색4 41_Sheet1" xfId="844"/>
    <cellStyle name="20% - 강조색4 42" xfId="845"/>
    <cellStyle name="20% - 강조색4 42 2" xfId="846"/>
    <cellStyle name="20% - 강조색4 42 3" xfId="847"/>
    <cellStyle name="20% - 강조색4 42_Sheet1" xfId="848"/>
    <cellStyle name="20% - 강조색4 43" xfId="849"/>
    <cellStyle name="20% - 강조색4 43 2" xfId="850"/>
    <cellStyle name="20% - 강조색4 43 3" xfId="851"/>
    <cellStyle name="20% - 강조색4 43_Sheet1" xfId="852"/>
    <cellStyle name="20% - 강조색4 44" xfId="853"/>
    <cellStyle name="20% - 강조색4 44 2" xfId="854"/>
    <cellStyle name="20% - 강조색4 44 3" xfId="855"/>
    <cellStyle name="20% - 강조색4 44_Sheet1" xfId="856"/>
    <cellStyle name="20% - 강조색4 45" xfId="857"/>
    <cellStyle name="20% - 강조색4 45 2" xfId="858"/>
    <cellStyle name="20% - 강조색4 45 3" xfId="859"/>
    <cellStyle name="20% - 강조색4 45_Sheet1" xfId="860"/>
    <cellStyle name="20% - 강조색4 46" xfId="861"/>
    <cellStyle name="20% - 강조색4 47" xfId="862"/>
    <cellStyle name="20% - 강조색4 48" xfId="863"/>
    <cellStyle name="20% - 강조색4 49" xfId="864"/>
    <cellStyle name="20% - 강조색4 5" xfId="865"/>
    <cellStyle name="20% - 강조색4 5 2" xfId="866"/>
    <cellStyle name="20% - 강조색4 5 3" xfId="867"/>
    <cellStyle name="20% - 강조색4 5_Sheet1" xfId="868"/>
    <cellStyle name="20% - 강조색4 50" xfId="869"/>
    <cellStyle name="20% - 강조색4 51" xfId="870"/>
    <cellStyle name="20% - 강조색4 52" xfId="871"/>
    <cellStyle name="20% - 강조색4 53" xfId="872"/>
    <cellStyle name="20% - 강조색4 54" xfId="873"/>
    <cellStyle name="20% - 강조색4 55" xfId="874"/>
    <cellStyle name="20% - 강조색4 56" xfId="875"/>
    <cellStyle name="20% - 강조색4 57" xfId="876"/>
    <cellStyle name="20% - 강조색4 58" xfId="877"/>
    <cellStyle name="20% - 강조색4 59" xfId="878"/>
    <cellStyle name="20% - 강조색4 6" xfId="879"/>
    <cellStyle name="20% - 강조색4 6 2" xfId="880"/>
    <cellStyle name="20% - 강조색4 6 3" xfId="881"/>
    <cellStyle name="20% - 강조색4 6_Sheet1" xfId="882"/>
    <cellStyle name="20% - 강조색4 60" xfId="883"/>
    <cellStyle name="20% - 강조색4 61" xfId="884"/>
    <cellStyle name="20% - 강조색4 62" xfId="885"/>
    <cellStyle name="20% - 강조색4 63" xfId="886"/>
    <cellStyle name="20% - 강조색4 64" xfId="887"/>
    <cellStyle name="20% - 강조색4 65" xfId="888"/>
    <cellStyle name="20% - 강조색4 66" xfId="889"/>
    <cellStyle name="20% - 강조색4 67" xfId="890"/>
    <cellStyle name="20% - 강조색4 68" xfId="891"/>
    <cellStyle name="20% - 강조색4 69" xfId="892"/>
    <cellStyle name="20% - 강조색4 7" xfId="893"/>
    <cellStyle name="20% - 강조색4 7 2" xfId="894"/>
    <cellStyle name="20% - 강조색4 7 3" xfId="895"/>
    <cellStyle name="20% - 강조색4 7_Sheet1" xfId="896"/>
    <cellStyle name="20% - 강조색4 70" xfId="897"/>
    <cellStyle name="20% - 강조색4 71" xfId="898"/>
    <cellStyle name="20% - 강조색4 72" xfId="899"/>
    <cellStyle name="20% - 강조색4 73" xfId="900"/>
    <cellStyle name="20% - 강조색4 74" xfId="901"/>
    <cellStyle name="20% - 강조색4 75" xfId="902"/>
    <cellStyle name="20% - 강조색4 76" xfId="903"/>
    <cellStyle name="20% - 강조색4 77" xfId="904"/>
    <cellStyle name="20% - 강조색4 78" xfId="905"/>
    <cellStyle name="20% - 강조색4 79" xfId="906"/>
    <cellStyle name="20% - 강조색4 8" xfId="907"/>
    <cellStyle name="20% - 강조색4 8 2" xfId="908"/>
    <cellStyle name="20% - 강조색4 8 3" xfId="909"/>
    <cellStyle name="20% - 강조색4 8_Sheet1" xfId="910"/>
    <cellStyle name="20% - 강조색4 80" xfId="911"/>
    <cellStyle name="20% - 강조색4 81" xfId="912"/>
    <cellStyle name="20% - 강조색4 82" xfId="913"/>
    <cellStyle name="20% - 강조색4 83" xfId="914"/>
    <cellStyle name="20% - 강조색4 84" xfId="915"/>
    <cellStyle name="20% - 강조색4 85" xfId="916"/>
    <cellStyle name="20% - 강조색4 86" xfId="917"/>
    <cellStyle name="20% - 강조색4 87" xfId="918"/>
    <cellStyle name="20% - 강조색4 88" xfId="919"/>
    <cellStyle name="20% - 강조색4 89" xfId="920"/>
    <cellStyle name="20% - 강조색4 9" xfId="921"/>
    <cellStyle name="20% - 강조색4 9 2" xfId="922"/>
    <cellStyle name="20% - 강조색4 9 3" xfId="923"/>
    <cellStyle name="20% - 강조색4 9_Sheet1" xfId="924"/>
    <cellStyle name="20% - 강조색4 90" xfId="925"/>
    <cellStyle name="20% - 강조색4 91" xfId="926"/>
    <cellStyle name="20% - 강조색4 92" xfId="927"/>
    <cellStyle name="20% - 강조색4 93" xfId="928"/>
    <cellStyle name="20% - 강조색4 94" xfId="929"/>
    <cellStyle name="20% - 강조색4 95" xfId="930"/>
    <cellStyle name="20% - 강조색4 96" xfId="931"/>
    <cellStyle name="20% - 강조색4 97" xfId="932"/>
    <cellStyle name="20% - 강조색4 98" xfId="933"/>
    <cellStyle name="20% - 강조색4 99" xfId="934"/>
    <cellStyle name="20% - 강조색5 10" xfId="935"/>
    <cellStyle name="20% - 강조색5 10 2" xfId="936"/>
    <cellStyle name="20% - 강조색5 10 3" xfId="937"/>
    <cellStyle name="20% - 강조색5 10_Sheet1" xfId="938"/>
    <cellStyle name="20% - 강조색5 100" xfId="939"/>
    <cellStyle name="20% - 강조색5 101" xfId="940"/>
    <cellStyle name="20% - 강조색5 102" xfId="941"/>
    <cellStyle name="20% - 강조색5 103" xfId="942"/>
    <cellStyle name="20% - 강조색5 104" xfId="943"/>
    <cellStyle name="20% - 강조색5 105" xfId="944"/>
    <cellStyle name="20% - 강조색5 106" xfId="945"/>
    <cellStyle name="20% - 강조색5 107" xfId="946"/>
    <cellStyle name="20% - 강조색5 108" xfId="947"/>
    <cellStyle name="20% - 강조색5 109" xfId="948"/>
    <cellStyle name="20% - 강조색5 11" xfId="949"/>
    <cellStyle name="20% - 강조색5 11 2" xfId="950"/>
    <cellStyle name="20% - 강조색5 11 3" xfId="951"/>
    <cellStyle name="20% - 강조색5 11_Sheet1" xfId="952"/>
    <cellStyle name="20% - 강조색5 110" xfId="953"/>
    <cellStyle name="20% - 강조색5 111" xfId="954"/>
    <cellStyle name="20% - 강조색5 12" xfId="955"/>
    <cellStyle name="20% - 강조색5 12 2" xfId="956"/>
    <cellStyle name="20% - 강조색5 12 3" xfId="957"/>
    <cellStyle name="20% - 강조색5 12_Sheet1" xfId="958"/>
    <cellStyle name="20% - 강조색5 13" xfId="959"/>
    <cellStyle name="20% - 강조색5 13 2" xfId="960"/>
    <cellStyle name="20% - 강조색5 13 3" xfId="961"/>
    <cellStyle name="20% - 강조색5 13_Sheet1" xfId="962"/>
    <cellStyle name="20% - 강조색5 14" xfId="963"/>
    <cellStyle name="20% - 강조색5 14 2" xfId="964"/>
    <cellStyle name="20% - 강조색5 14 3" xfId="965"/>
    <cellStyle name="20% - 강조색5 14_Sheet1" xfId="966"/>
    <cellStyle name="20% - 강조색5 15" xfId="967"/>
    <cellStyle name="20% - 강조색5 15 2" xfId="968"/>
    <cellStyle name="20% - 강조색5 15 3" xfId="969"/>
    <cellStyle name="20% - 강조색5 15_Sheet1" xfId="970"/>
    <cellStyle name="20% - 강조색5 16" xfId="971"/>
    <cellStyle name="20% - 강조색5 16 2" xfId="972"/>
    <cellStyle name="20% - 강조색5 16 3" xfId="973"/>
    <cellStyle name="20% - 강조색5 16_Sheet1" xfId="974"/>
    <cellStyle name="20% - 강조색5 17" xfId="975"/>
    <cellStyle name="20% - 강조색5 17 2" xfId="976"/>
    <cellStyle name="20% - 강조색5 17 3" xfId="977"/>
    <cellStyle name="20% - 강조색5 17_Sheet1" xfId="978"/>
    <cellStyle name="20% - 강조색5 18" xfId="979"/>
    <cellStyle name="20% - 강조색5 18 2" xfId="980"/>
    <cellStyle name="20% - 강조색5 18 3" xfId="981"/>
    <cellStyle name="20% - 강조색5 18_Sheet1" xfId="982"/>
    <cellStyle name="20% - 강조색5 19" xfId="983"/>
    <cellStyle name="20% - 강조색5 19 2" xfId="984"/>
    <cellStyle name="20% - 강조색5 19 3" xfId="985"/>
    <cellStyle name="20% - 강조색5 19_Sheet1" xfId="986"/>
    <cellStyle name="20% - 강조색5 2" xfId="987"/>
    <cellStyle name="20% - 강조색5 20" xfId="988"/>
    <cellStyle name="20% - 강조색5 20 2" xfId="989"/>
    <cellStyle name="20% - 강조색5 20 3" xfId="990"/>
    <cellStyle name="20% - 강조색5 20_Sheet1" xfId="991"/>
    <cellStyle name="20% - 강조색5 21" xfId="992"/>
    <cellStyle name="20% - 강조색5 21 2" xfId="993"/>
    <cellStyle name="20% - 강조색5 21 3" xfId="994"/>
    <cellStyle name="20% - 강조색5 21_Sheet1" xfId="995"/>
    <cellStyle name="20% - 강조색5 22" xfId="996"/>
    <cellStyle name="20% - 강조색5 22 2" xfId="997"/>
    <cellStyle name="20% - 강조색5 22 3" xfId="998"/>
    <cellStyle name="20% - 강조색5 22_Sheet1" xfId="999"/>
    <cellStyle name="20% - 강조색5 23" xfId="1000"/>
    <cellStyle name="20% - 강조색5 23 2" xfId="1001"/>
    <cellStyle name="20% - 강조색5 23 3" xfId="1002"/>
    <cellStyle name="20% - 강조색5 23_Sheet1" xfId="1003"/>
    <cellStyle name="20% - 강조색5 24" xfId="1004"/>
    <cellStyle name="20% - 강조색5 24 2" xfId="1005"/>
    <cellStyle name="20% - 강조색5 24 3" xfId="1006"/>
    <cellStyle name="20% - 강조색5 24_Sheet1" xfId="1007"/>
    <cellStyle name="20% - 강조색5 25" xfId="1008"/>
    <cellStyle name="20% - 강조색5 25 2" xfId="1009"/>
    <cellStyle name="20% - 강조색5 25 3" xfId="1010"/>
    <cellStyle name="20% - 강조색5 25_Sheet1" xfId="1011"/>
    <cellStyle name="20% - 강조색5 26" xfId="1012"/>
    <cellStyle name="20% - 강조색5 26 2" xfId="1013"/>
    <cellStyle name="20% - 강조색5 26 3" xfId="1014"/>
    <cellStyle name="20% - 강조색5 26_Sheet1" xfId="1015"/>
    <cellStyle name="20% - 강조색5 27" xfId="1016"/>
    <cellStyle name="20% - 강조색5 27 2" xfId="1017"/>
    <cellStyle name="20% - 강조색5 27 3" xfId="1018"/>
    <cellStyle name="20% - 강조색5 27_Sheet1" xfId="1019"/>
    <cellStyle name="20% - 강조색5 28" xfId="1020"/>
    <cellStyle name="20% - 강조색5 28 2" xfId="1021"/>
    <cellStyle name="20% - 강조색5 28 3" xfId="1022"/>
    <cellStyle name="20% - 강조색5 28_Sheet1" xfId="1023"/>
    <cellStyle name="20% - 강조색5 29" xfId="1024"/>
    <cellStyle name="20% - 강조색5 29 2" xfId="1025"/>
    <cellStyle name="20% - 강조색5 29 3" xfId="1026"/>
    <cellStyle name="20% - 강조색5 29_Sheet1" xfId="1027"/>
    <cellStyle name="20% - 강조색5 3" xfId="1028"/>
    <cellStyle name="20% - 강조색5 30" xfId="1029"/>
    <cellStyle name="20% - 강조색5 30 2" xfId="1030"/>
    <cellStyle name="20% - 강조색5 30 3" xfId="1031"/>
    <cellStyle name="20% - 강조색5 30_Sheet1" xfId="1032"/>
    <cellStyle name="20% - 강조색5 31" xfId="1033"/>
    <cellStyle name="20% - 강조색5 31 2" xfId="1034"/>
    <cellStyle name="20% - 강조색5 31 3" xfId="1035"/>
    <cellStyle name="20% - 강조색5 31_Sheet1" xfId="1036"/>
    <cellStyle name="20% - 강조색5 32" xfId="1037"/>
    <cellStyle name="20% - 강조색5 32 2" xfId="1038"/>
    <cellStyle name="20% - 강조색5 32 3" xfId="1039"/>
    <cellStyle name="20% - 강조색5 32_Sheet1" xfId="1040"/>
    <cellStyle name="20% - 강조색5 33" xfId="1041"/>
    <cellStyle name="20% - 강조색5 33 2" xfId="1042"/>
    <cellStyle name="20% - 강조색5 33 3" xfId="1043"/>
    <cellStyle name="20% - 강조색5 33_Sheet1" xfId="1044"/>
    <cellStyle name="20% - 강조색5 34" xfId="1045"/>
    <cellStyle name="20% - 강조색5 34 2" xfId="1046"/>
    <cellStyle name="20% - 강조색5 34 3" xfId="1047"/>
    <cellStyle name="20% - 강조색5 34_Sheet1" xfId="1048"/>
    <cellStyle name="20% - 강조색5 35" xfId="1049"/>
    <cellStyle name="20% - 강조색5 35 2" xfId="1050"/>
    <cellStyle name="20% - 강조색5 35 3" xfId="1051"/>
    <cellStyle name="20% - 강조색5 35_Sheet1" xfId="1052"/>
    <cellStyle name="20% - 강조색5 36" xfId="1053"/>
    <cellStyle name="20% - 강조색5 36 2" xfId="1054"/>
    <cellStyle name="20% - 강조색5 36 3" xfId="1055"/>
    <cellStyle name="20% - 강조색5 36_Sheet1" xfId="1056"/>
    <cellStyle name="20% - 강조색5 37" xfId="1057"/>
    <cellStyle name="20% - 강조색5 37 2" xfId="1058"/>
    <cellStyle name="20% - 강조색5 37 3" xfId="1059"/>
    <cellStyle name="20% - 강조색5 37_Sheet1" xfId="1060"/>
    <cellStyle name="20% - 강조색5 38" xfId="1061"/>
    <cellStyle name="20% - 강조색5 38 2" xfId="1062"/>
    <cellStyle name="20% - 강조색5 38 3" xfId="1063"/>
    <cellStyle name="20% - 강조색5 38_Sheet1" xfId="1064"/>
    <cellStyle name="20% - 강조색5 39" xfId="1065"/>
    <cellStyle name="20% - 강조색5 39 2" xfId="1066"/>
    <cellStyle name="20% - 강조색5 39 3" xfId="1067"/>
    <cellStyle name="20% - 강조색5 39_Sheet1" xfId="1068"/>
    <cellStyle name="20% - 강조색5 4" xfId="1069"/>
    <cellStyle name="20% - 강조색5 40" xfId="1070"/>
    <cellStyle name="20% - 강조색5 40 2" xfId="1071"/>
    <cellStyle name="20% - 강조색5 40 3" xfId="1072"/>
    <cellStyle name="20% - 강조색5 40_Sheet1" xfId="1073"/>
    <cellStyle name="20% - 강조색5 41" xfId="1074"/>
    <cellStyle name="20% - 강조색5 41 2" xfId="1075"/>
    <cellStyle name="20% - 강조색5 41 3" xfId="1076"/>
    <cellStyle name="20% - 강조색5 41_Sheet1" xfId="1077"/>
    <cellStyle name="20% - 강조색5 42" xfId="1078"/>
    <cellStyle name="20% - 강조색5 42 2" xfId="1079"/>
    <cellStyle name="20% - 강조색5 42 3" xfId="1080"/>
    <cellStyle name="20% - 강조색5 42_Sheet1" xfId="1081"/>
    <cellStyle name="20% - 강조색5 43" xfId="1082"/>
    <cellStyle name="20% - 강조색5 43 2" xfId="1083"/>
    <cellStyle name="20% - 강조색5 43 3" xfId="1084"/>
    <cellStyle name="20% - 강조색5 43_Sheet1" xfId="1085"/>
    <cellStyle name="20% - 강조색5 44" xfId="1086"/>
    <cellStyle name="20% - 강조색5 44 2" xfId="1087"/>
    <cellStyle name="20% - 강조색5 44 3" xfId="1088"/>
    <cellStyle name="20% - 강조색5 44_Sheet1" xfId="1089"/>
    <cellStyle name="20% - 강조색5 45" xfId="1090"/>
    <cellStyle name="20% - 강조색5 45 2" xfId="1091"/>
    <cellStyle name="20% - 강조색5 45 3" xfId="1092"/>
    <cellStyle name="20% - 강조색5 45_Sheet1" xfId="1093"/>
    <cellStyle name="20% - 강조색5 46" xfId="1094"/>
    <cellStyle name="20% - 강조색5 47" xfId="1095"/>
    <cellStyle name="20% - 강조색5 48" xfId="1096"/>
    <cellStyle name="20% - 강조색5 49" xfId="1097"/>
    <cellStyle name="20% - 강조색5 5" xfId="1098"/>
    <cellStyle name="20% - 강조색5 5 2" xfId="1099"/>
    <cellStyle name="20% - 강조색5 5 3" xfId="1100"/>
    <cellStyle name="20% - 강조색5 5_Sheet1" xfId="1101"/>
    <cellStyle name="20% - 강조색5 50" xfId="1102"/>
    <cellStyle name="20% - 강조색5 51" xfId="1103"/>
    <cellStyle name="20% - 강조색5 52" xfId="1104"/>
    <cellStyle name="20% - 강조색5 53" xfId="1105"/>
    <cellStyle name="20% - 강조색5 54" xfId="1106"/>
    <cellStyle name="20% - 강조색5 55" xfId="1107"/>
    <cellStyle name="20% - 강조색5 56" xfId="1108"/>
    <cellStyle name="20% - 강조색5 57" xfId="1109"/>
    <cellStyle name="20% - 강조색5 58" xfId="1110"/>
    <cellStyle name="20% - 강조색5 59" xfId="1111"/>
    <cellStyle name="20% - 강조색5 6" xfId="1112"/>
    <cellStyle name="20% - 강조색5 6 2" xfId="1113"/>
    <cellStyle name="20% - 강조색5 6 3" xfId="1114"/>
    <cellStyle name="20% - 강조색5 6_Sheet1" xfId="1115"/>
    <cellStyle name="20% - 강조색5 60" xfId="1116"/>
    <cellStyle name="20% - 강조색5 61" xfId="1117"/>
    <cellStyle name="20% - 강조색5 62" xfId="1118"/>
    <cellStyle name="20% - 강조색5 63" xfId="1119"/>
    <cellStyle name="20% - 강조색5 64" xfId="1120"/>
    <cellStyle name="20% - 강조색5 65" xfId="1121"/>
    <cellStyle name="20% - 강조색5 66" xfId="1122"/>
    <cellStyle name="20% - 강조색5 67" xfId="1123"/>
    <cellStyle name="20% - 강조색5 68" xfId="1124"/>
    <cellStyle name="20% - 강조색5 69" xfId="1125"/>
    <cellStyle name="20% - 강조색5 7" xfId="1126"/>
    <cellStyle name="20% - 강조색5 7 2" xfId="1127"/>
    <cellStyle name="20% - 강조색5 7 3" xfId="1128"/>
    <cellStyle name="20% - 강조색5 7_Sheet1" xfId="1129"/>
    <cellStyle name="20% - 강조색5 70" xfId="1130"/>
    <cellStyle name="20% - 강조색5 71" xfId="1131"/>
    <cellStyle name="20% - 강조색5 72" xfId="1132"/>
    <cellStyle name="20% - 강조색5 73" xfId="1133"/>
    <cellStyle name="20% - 강조색5 74" xfId="1134"/>
    <cellStyle name="20% - 강조색5 75" xfId="1135"/>
    <cellStyle name="20% - 강조색5 76" xfId="1136"/>
    <cellStyle name="20% - 강조색5 77" xfId="1137"/>
    <cellStyle name="20% - 강조색5 78" xfId="1138"/>
    <cellStyle name="20% - 강조색5 79" xfId="1139"/>
    <cellStyle name="20% - 강조색5 8" xfId="1140"/>
    <cellStyle name="20% - 강조색5 8 2" xfId="1141"/>
    <cellStyle name="20% - 강조색5 8 3" xfId="1142"/>
    <cellStyle name="20% - 강조색5 8_Sheet1" xfId="1143"/>
    <cellStyle name="20% - 강조색5 80" xfId="1144"/>
    <cellStyle name="20% - 강조색5 81" xfId="1145"/>
    <cellStyle name="20% - 강조색5 82" xfId="1146"/>
    <cellStyle name="20% - 강조색5 83" xfId="1147"/>
    <cellStyle name="20% - 강조색5 84" xfId="1148"/>
    <cellStyle name="20% - 강조색5 85" xfId="1149"/>
    <cellStyle name="20% - 강조색5 86" xfId="1150"/>
    <cellStyle name="20% - 강조색5 87" xfId="1151"/>
    <cellStyle name="20% - 강조색5 88" xfId="1152"/>
    <cellStyle name="20% - 강조색5 89" xfId="1153"/>
    <cellStyle name="20% - 강조색5 9" xfId="1154"/>
    <cellStyle name="20% - 강조색5 9 2" xfId="1155"/>
    <cellStyle name="20% - 강조색5 9 3" xfId="1156"/>
    <cellStyle name="20% - 강조색5 9_Sheet1" xfId="1157"/>
    <cellStyle name="20% - 강조색5 90" xfId="1158"/>
    <cellStyle name="20% - 강조색5 91" xfId="1159"/>
    <cellStyle name="20% - 강조색5 92" xfId="1160"/>
    <cellStyle name="20% - 강조색5 93" xfId="1161"/>
    <cellStyle name="20% - 강조색5 94" xfId="1162"/>
    <cellStyle name="20% - 강조색5 95" xfId="1163"/>
    <cellStyle name="20% - 강조색5 96" xfId="1164"/>
    <cellStyle name="20% - 강조색5 97" xfId="1165"/>
    <cellStyle name="20% - 강조색5 98" xfId="1166"/>
    <cellStyle name="20% - 강조색5 99" xfId="1167"/>
    <cellStyle name="20% - 강조색6 10" xfId="1168"/>
    <cellStyle name="20% - 강조색6 10 2" xfId="1169"/>
    <cellStyle name="20% - 강조색6 10 3" xfId="1170"/>
    <cellStyle name="20% - 강조색6 10_Sheet1" xfId="1171"/>
    <cellStyle name="20% - 강조색6 100" xfId="1172"/>
    <cellStyle name="20% - 강조색6 101" xfId="1173"/>
    <cellStyle name="20% - 강조색6 102" xfId="1174"/>
    <cellStyle name="20% - 강조색6 103" xfId="1175"/>
    <cellStyle name="20% - 강조색6 104" xfId="1176"/>
    <cellStyle name="20% - 강조색6 105" xfId="1177"/>
    <cellStyle name="20% - 강조색6 106" xfId="1178"/>
    <cellStyle name="20% - 강조색6 107" xfId="1179"/>
    <cellStyle name="20% - 강조색6 108" xfId="1180"/>
    <cellStyle name="20% - 강조색6 109" xfId="1181"/>
    <cellStyle name="20% - 강조색6 11" xfId="1182"/>
    <cellStyle name="20% - 강조색6 11 2" xfId="1183"/>
    <cellStyle name="20% - 강조색6 11 3" xfId="1184"/>
    <cellStyle name="20% - 강조색6 11_Sheet1" xfId="1185"/>
    <cellStyle name="20% - 강조색6 110" xfId="1186"/>
    <cellStyle name="20% - 강조색6 111" xfId="1187"/>
    <cellStyle name="20% - 강조색6 12" xfId="1188"/>
    <cellStyle name="20% - 강조색6 12 2" xfId="1189"/>
    <cellStyle name="20% - 강조색6 12 3" xfId="1190"/>
    <cellStyle name="20% - 강조색6 12_Sheet1" xfId="1191"/>
    <cellStyle name="20% - 강조색6 13" xfId="1192"/>
    <cellStyle name="20% - 강조색6 13 2" xfId="1193"/>
    <cellStyle name="20% - 강조색6 13 3" xfId="1194"/>
    <cellStyle name="20% - 강조색6 13_Sheet1" xfId="1195"/>
    <cellStyle name="20% - 강조색6 14" xfId="1196"/>
    <cellStyle name="20% - 강조색6 14 2" xfId="1197"/>
    <cellStyle name="20% - 강조색6 14 3" xfId="1198"/>
    <cellStyle name="20% - 강조색6 14_Sheet1" xfId="1199"/>
    <cellStyle name="20% - 강조색6 15" xfId="1200"/>
    <cellStyle name="20% - 강조색6 15 2" xfId="1201"/>
    <cellStyle name="20% - 강조색6 15 3" xfId="1202"/>
    <cellStyle name="20% - 강조색6 15_Sheet1" xfId="1203"/>
    <cellStyle name="20% - 강조색6 16" xfId="1204"/>
    <cellStyle name="20% - 강조색6 16 2" xfId="1205"/>
    <cellStyle name="20% - 강조색6 16 3" xfId="1206"/>
    <cellStyle name="20% - 강조색6 16_Sheet1" xfId="1207"/>
    <cellStyle name="20% - 강조색6 17" xfId="1208"/>
    <cellStyle name="20% - 강조색6 17 2" xfId="1209"/>
    <cellStyle name="20% - 강조색6 17 3" xfId="1210"/>
    <cellStyle name="20% - 강조색6 17_Sheet1" xfId="1211"/>
    <cellStyle name="20% - 강조색6 18" xfId="1212"/>
    <cellStyle name="20% - 강조색6 18 2" xfId="1213"/>
    <cellStyle name="20% - 강조색6 18 3" xfId="1214"/>
    <cellStyle name="20% - 강조색6 18_Sheet1" xfId="1215"/>
    <cellStyle name="20% - 강조색6 19" xfId="1216"/>
    <cellStyle name="20% - 강조색6 19 2" xfId="1217"/>
    <cellStyle name="20% - 강조색6 19 3" xfId="1218"/>
    <cellStyle name="20% - 강조색6 19_Sheet1" xfId="1219"/>
    <cellStyle name="20% - 강조색6 2" xfId="1220"/>
    <cellStyle name="20% - 강조색6 20" xfId="1221"/>
    <cellStyle name="20% - 강조색6 20 2" xfId="1222"/>
    <cellStyle name="20% - 강조색6 20 3" xfId="1223"/>
    <cellStyle name="20% - 강조색6 20_Sheet1" xfId="1224"/>
    <cellStyle name="20% - 강조색6 21" xfId="1225"/>
    <cellStyle name="20% - 강조색6 21 2" xfId="1226"/>
    <cellStyle name="20% - 강조색6 21 3" xfId="1227"/>
    <cellStyle name="20% - 강조색6 21_Sheet1" xfId="1228"/>
    <cellStyle name="20% - 강조색6 22" xfId="1229"/>
    <cellStyle name="20% - 강조색6 22 2" xfId="1230"/>
    <cellStyle name="20% - 강조색6 22 3" xfId="1231"/>
    <cellStyle name="20% - 강조색6 22_Sheet1" xfId="1232"/>
    <cellStyle name="20% - 강조색6 23" xfId="1233"/>
    <cellStyle name="20% - 강조색6 23 2" xfId="1234"/>
    <cellStyle name="20% - 강조색6 23 3" xfId="1235"/>
    <cellStyle name="20% - 강조색6 23_Sheet1" xfId="1236"/>
    <cellStyle name="20% - 강조색6 24" xfId="1237"/>
    <cellStyle name="20% - 강조색6 24 2" xfId="1238"/>
    <cellStyle name="20% - 강조색6 24 3" xfId="1239"/>
    <cellStyle name="20% - 강조색6 24_Sheet1" xfId="1240"/>
    <cellStyle name="20% - 강조색6 25" xfId="1241"/>
    <cellStyle name="20% - 강조색6 25 2" xfId="1242"/>
    <cellStyle name="20% - 강조색6 25 3" xfId="1243"/>
    <cellStyle name="20% - 강조색6 25_Sheet1" xfId="1244"/>
    <cellStyle name="20% - 강조색6 26" xfId="1245"/>
    <cellStyle name="20% - 강조색6 26 2" xfId="1246"/>
    <cellStyle name="20% - 강조색6 26 3" xfId="1247"/>
    <cellStyle name="20% - 강조색6 26_Sheet1" xfId="1248"/>
    <cellStyle name="20% - 강조색6 27" xfId="1249"/>
    <cellStyle name="20% - 강조색6 27 2" xfId="1250"/>
    <cellStyle name="20% - 강조색6 27 3" xfId="1251"/>
    <cellStyle name="20% - 강조색6 27_Sheet1" xfId="1252"/>
    <cellStyle name="20% - 강조색6 28" xfId="1253"/>
    <cellStyle name="20% - 강조색6 28 2" xfId="1254"/>
    <cellStyle name="20% - 강조색6 28 3" xfId="1255"/>
    <cellStyle name="20% - 강조색6 28_Sheet1" xfId="1256"/>
    <cellStyle name="20% - 강조색6 29" xfId="1257"/>
    <cellStyle name="20% - 강조색6 29 2" xfId="1258"/>
    <cellStyle name="20% - 강조색6 29 3" xfId="1259"/>
    <cellStyle name="20% - 강조색6 29_Sheet1" xfId="1260"/>
    <cellStyle name="20% - 강조색6 3" xfId="1261"/>
    <cellStyle name="20% - 강조색6 30" xfId="1262"/>
    <cellStyle name="20% - 강조색6 30 2" xfId="1263"/>
    <cellStyle name="20% - 강조색6 30 3" xfId="1264"/>
    <cellStyle name="20% - 강조색6 30_Sheet1" xfId="1265"/>
    <cellStyle name="20% - 강조색6 31" xfId="1266"/>
    <cellStyle name="20% - 강조색6 31 2" xfId="1267"/>
    <cellStyle name="20% - 강조색6 31 3" xfId="1268"/>
    <cellStyle name="20% - 강조색6 31_Sheet1" xfId="1269"/>
    <cellStyle name="20% - 강조색6 32" xfId="1270"/>
    <cellStyle name="20% - 강조색6 32 2" xfId="1271"/>
    <cellStyle name="20% - 강조색6 32 3" xfId="1272"/>
    <cellStyle name="20% - 강조색6 32_Sheet1" xfId="1273"/>
    <cellStyle name="20% - 강조색6 33" xfId="1274"/>
    <cellStyle name="20% - 강조색6 33 2" xfId="1275"/>
    <cellStyle name="20% - 강조색6 33 3" xfId="1276"/>
    <cellStyle name="20% - 강조색6 33_Sheet1" xfId="1277"/>
    <cellStyle name="20% - 강조색6 34" xfId="1278"/>
    <cellStyle name="20% - 강조색6 34 2" xfId="1279"/>
    <cellStyle name="20% - 강조색6 34 3" xfId="1280"/>
    <cellStyle name="20% - 강조색6 34_Sheet1" xfId="1281"/>
    <cellStyle name="20% - 강조색6 35" xfId="1282"/>
    <cellStyle name="20% - 강조색6 35 2" xfId="1283"/>
    <cellStyle name="20% - 강조색6 35 3" xfId="1284"/>
    <cellStyle name="20% - 강조색6 35_Sheet1" xfId="1285"/>
    <cellStyle name="20% - 강조색6 36" xfId="1286"/>
    <cellStyle name="20% - 강조색6 36 2" xfId="1287"/>
    <cellStyle name="20% - 강조색6 36 3" xfId="1288"/>
    <cellStyle name="20% - 강조색6 36_Sheet1" xfId="1289"/>
    <cellStyle name="20% - 강조색6 37" xfId="1290"/>
    <cellStyle name="20% - 강조색6 37 2" xfId="1291"/>
    <cellStyle name="20% - 강조색6 37 3" xfId="1292"/>
    <cellStyle name="20% - 강조색6 37_Sheet1" xfId="1293"/>
    <cellStyle name="20% - 강조색6 38" xfId="1294"/>
    <cellStyle name="20% - 강조색6 38 2" xfId="1295"/>
    <cellStyle name="20% - 강조색6 38 3" xfId="1296"/>
    <cellStyle name="20% - 강조색6 38_Sheet1" xfId="1297"/>
    <cellStyle name="20% - 강조색6 39" xfId="1298"/>
    <cellStyle name="20% - 강조색6 39 2" xfId="1299"/>
    <cellStyle name="20% - 강조색6 39 3" xfId="1300"/>
    <cellStyle name="20% - 강조색6 39_Sheet1" xfId="1301"/>
    <cellStyle name="20% - 강조색6 4" xfId="1302"/>
    <cellStyle name="20% - 강조색6 40" xfId="1303"/>
    <cellStyle name="20% - 강조색6 40 2" xfId="1304"/>
    <cellStyle name="20% - 강조색6 40 3" xfId="1305"/>
    <cellStyle name="20% - 강조색6 40_Sheet1" xfId="1306"/>
    <cellStyle name="20% - 강조색6 41" xfId="1307"/>
    <cellStyle name="20% - 강조색6 41 2" xfId="1308"/>
    <cellStyle name="20% - 강조색6 41 3" xfId="1309"/>
    <cellStyle name="20% - 강조색6 41_Sheet1" xfId="1310"/>
    <cellStyle name="20% - 강조색6 42" xfId="1311"/>
    <cellStyle name="20% - 강조색6 42 2" xfId="1312"/>
    <cellStyle name="20% - 강조색6 42 3" xfId="1313"/>
    <cellStyle name="20% - 강조색6 42_Sheet1" xfId="1314"/>
    <cellStyle name="20% - 강조색6 43" xfId="1315"/>
    <cellStyle name="20% - 강조색6 43 2" xfId="1316"/>
    <cellStyle name="20% - 강조색6 43 3" xfId="1317"/>
    <cellStyle name="20% - 강조색6 43_Sheet1" xfId="1318"/>
    <cellStyle name="20% - 강조색6 44" xfId="1319"/>
    <cellStyle name="20% - 강조색6 44 2" xfId="1320"/>
    <cellStyle name="20% - 강조색6 44 3" xfId="1321"/>
    <cellStyle name="20% - 강조색6 44_Sheet1" xfId="1322"/>
    <cellStyle name="20% - 강조색6 45" xfId="1323"/>
    <cellStyle name="20% - 강조색6 45 2" xfId="1324"/>
    <cellStyle name="20% - 강조색6 45 3" xfId="1325"/>
    <cellStyle name="20% - 강조색6 45_Sheet1" xfId="1326"/>
    <cellStyle name="20% - 강조색6 46" xfId="1327"/>
    <cellStyle name="20% - 강조색6 47" xfId="1328"/>
    <cellStyle name="20% - 강조색6 48" xfId="1329"/>
    <cellStyle name="20% - 강조색6 49" xfId="1330"/>
    <cellStyle name="20% - 강조색6 5" xfId="1331"/>
    <cellStyle name="20% - 강조색6 5 2" xfId="1332"/>
    <cellStyle name="20% - 강조색6 5 3" xfId="1333"/>
    <cellStyle name="20% - 강조색6 5_Sheet1" xfId="1334"/>
    <cellStyle name="20% - 강조색6 50" xfId="1335"/>
    <cellStyle name="20% - 강조색6 51" xfId="1336"/>
    <cellStyle name="20% - 강조색6 52" xfId="1337"/>
    <cellStyle name="20% - 강조색6 53" xfId="1338"/>
    <cellStyle name="20% - 강조색6 54" xfId="1339"/>
    <cellStyle name="20% - 강조색6 55" xfId="1340"/>
    <cellStyle name="20% - 강조색6 56" xfId="1341"/>
    <cellStyle name="20% - 강조색6 57" xfId="1342"/>
    <cellStyle name="20% - 강조색6 58" xfId="1343"/>
    <cellStyle name="20% - 강조색6 59" xfId="1344"/>
    <cellStyle name="20% - 강조색6 6" xfId="1345"/>
    <cellStyle name="20% - 강조색6 6 2" xfId="1346"/>
    <cellStyle name="20% - 강조색6 6 3" xfId="1347"/>
    <cellStyle name="20% - 강조색6 6_Sheet1" xfId="1348"/>
    <cellStyle name="20% - 강조색6 60" xfId="1349"/>
    <cellStyle name="20% - 강조색6 61" xfId="1350"/>
    <cellStyle name="20% - 강조색6 62" xfId="1351"/>
    <cellStyle name="20% - 강조색6 63" xfId="1352"/>
    <cellStyle name="20% - 강조색6 64" xfId="1353"/>
    <cellStyle name="20% - 강조색6 65" xfId="1354"/>
    <cellStyle name="20% - 강조색6 66" xfId="1355"/>
    <cellStyle name="20% - 강조색6 67" xfId="1356"/>
    <cellStyle name="20% - 강조색6 68" xfId="1357"/>
    <cellStyle name="20% - 강조색6 69" xfId="1358"/>
    <cellStyle name="20% - 강조색6 7" xfId="1359"/>
    <cellStyle name="20% - 강조색6 7 2" xfId="1360"/>
    <cellStyle name="20% - 강조색6 7 3" xfId="1361"/>
    <cellStyle name="20% - 강조색6 7_Sheet1" xfId="1362"/>
    <cellStyle name="20% - 강조색6 70" xfId="1363"/>
    <cellStyle name="20% - 강조색6 71" xfId="1364"/>
    <cellStyle name="20% - 강조색6 72" xfId="1365"/>
    <cellStyle name="20% - 강조색6 73" xfId="1366"/>
    <cellStyle name="20% - 강조색6 74" xfId="1367"/>
    <cellStyle name="20% - 강조색6 75" xfId="1368"/>
    <cellStyle name="20% - 강조색6 76" xfId="1369"/>
    <cellStyle name="20% - 강조색6 77" xfId="1370"/>
    <cellStyle name="20% - 강조색6 78" xfId="1371"/>
    <cellStyle name="20% - 강조색6 79" xfId="1372"/>
    <cellStyle name="20% - 강조색6 8" xfId="1373"/>
    <cellStyle name="20% - 강조색6 8 2" xfId="1374"/>
    <cellStyle name="20% - 강조색6 8 3" xfId="1375"/>
    <cellStyle name="20% - 강조색6 8_Sheet1" xfId="1376"/>
    <cellStyle name="20% - 강조색6 80" xfId="1377"/>
    <cellStyle name="20% - 강조색6 81" xfId="1378"/>
    <cellStyle name="20% - 강조색6 82" xfId="1379"/>
    <cellStyle name="20% - 강조색6 83" xfId="1380"/>
    <cellStyle name="20% - 강조색6 84" xfId="1381"/>
    <cellStyle name="20% - 강조색6 85" xfId="1382"/>
    <cellStyle name="20% - 강조색6 86" xfId="1383"/>
    <cellStyle name="20% - 강조색6 87" xfId="1384"/>
    <cellStyle name="20% - 강조색6 88" xfId="1385"/>
    <cellStyle name="20% - 강조색6 89" xfId="1386"/>
    <cellStyle name="20% - 강조색6 9" xfId="1387"/>
    <cellStyle name="20% - 강조색6 9 2" xfId="1388"/>
    <cellStyle name="20% - 강조색6 9 3" xfId="1389"/>
    <cellStyle name="20% - 강조색6 9_Sheet1" xfId="1390"/>
    <cellStyle name="20% - 강조색6 90" xfId="1391"/>
    <cellStyle name="20% - 강조색6 91" xfId="1392"/>
    <cellStyle name="20% - 강조색6 92" xfId="1393"/>
    <cellStyle name="20% - 강조색6 93" xfId="1394"/>
    <cellStyle name="20% - 강조색6 94" xfId="1395"/>
    <cellStyle name="20% - 강조색6 95" xfId="1396"/>
    <cellStyle name="20% - 강조색6 96" xfId="1397"/>
    <cellStyle name="20% - 강조색6 97" xfId="1398"/>
    <cellStyle name="20% - 강조색6 98" xfId="1399"/>
    <cellStyle name="20% - 강조색6 99" xfId="1400"/>
    <cellStyle name="40% - 강조색1 10" xfId="1401"/>
    <cellStyle name="40% - 강조색1 10 2" xfId="1402"/>
    <cellStyle name="40% - 강조색1 10 3" xfId="1403"/>
    <cellStyle name="40% - 강조색1 10_Sheet1" xfId="1404"/>
    <cellStyle name="40% - 강조색1 100" xfId="1405"/>
    <cellStyle name="40% - 강조색1 101" xfId="1406"/>
    <cellStyle name="40% - 강조색1 102" xfId="1407"/>
    <cellStyle name="40% - 강조색1 103" xfId="1408"/>
    <cellStyle name="40% - 강조색1 104" xfId="1409"/>
    <cellStyle name="40% - 강조색1 105" xfId="1410"/>
    <cellStyle name="40% - 강조색1 106" xfId="1411"/>
    <cellStyle name="40% - 강조색1 107" xfId="1412"/>
    <cellStyle name="40% - 강조색1 108" xfId="1413"/>
    <cellStyle name="40% - 강조색1 109" xfId="1414"/>
    <cellStyle name="40% - 강조색1 11" xfId="1415"/>
    <cellStyle name="40% - 강조색1 11 2" xfId="1416"/>
    <cellStyle name="40% - 강조색1 11 3" xfId="1417"/>
    <cellStyle name="40% - 강조색1 11_Sheet1" xfId="1418"/>
    <cellStyle name="40% - 강조색1 110" xfId="1419"/>
    <cellStyle name="40% - 강조색1 111" xfId="1420"/>
    <cellStyle name="40% - 강조색1 12" xfId="1421"/>
    <cellStyle name="40% - 강조색1 12 2" xfId="1422"/>
    <cellStyle name="40% - 강조색1 12 3" xfId="1423"/>
    <cellStyle name="40% - 강조색1 12_Sheet1" xfId="1424"/>
    <cellStyle name="40% - 강조색1 13" xfId="1425"/>
    <cellStyle name="40% - 강조색1 13 2" xfId="1426"/>
    <cellStyle name="40% - 강조색1 13 3" xfId="1427"/>
    <cellStyle name="40% - 강조색1 13_Sheet1" xfId="1428"/>
    <cellStyle name="40% - 강조색1 14" xfId="1429"/>
    <cellStyle name="40% - 강조색1 14 2" xfId="1430"/>
    <cellStyle name="40% - 강조색1 14 3" xfId="1431"/>
    <cellStyle name="40% - 강조색1 14_Sheet1" xfId="1432"/>
    <cellStyle name="40% - 강조색1 15" xfId="1433"/>
    <cellStyle name="40% - 강조색1 15 2" xfId="1434"/>
    <cellStyle name="40% - 강조색1 15 3" xfId="1435"/>
    <cellStyle name="40% - 강조색1 15_Sheet1" xfId="1436"/>
    <cellStyle name="40% - 강조색1 16" xfId="1437"/>
    <cellStyle name="40% - 강조색1 16 2" xfId="1438"/>
    <cellStyle name="40% - 강조색1 16 3" xfId="1439"/>
    <cellStyle name="40% - 강조색1 16_Sheet1" xfId="1440"/>
    <cellStyle name="40% - 강조색1 17" xfId="1441"/>
    <cellStyle name="40% - 강조색1 17 2" xfId="1442"/>
    <cellStyle name="40% - 강조색1 17 3" xfId="1443"/>
    <cellStyle name="40% - 강조색1 17_Sheet1" xfId="1444"/>
    <cellStyle name="40% - 강조색1 18" xfId="1445"/>
    <cellStyle name="40% - 강조색1 18 2" xfId="1446"/>
    <cellStyle name="40% - 강조색1 18 3" xfId="1447"/>
    <cellStyle name="40% - 강조색1 18_Sheet1" xfId="1448"/>
    <cellStyle name="40% - 강조색1 19" xfId="1449"/>
    <cellStyle name="40% - 강조색1 19 2" xfId="1450"/>
    <cellStyle name="40% - 강조색1 19 3" xfId="1451"/>
    <cellStyle name="40% - 강조색1 19_Sheet1" xfId="1452"/>
    <cellStyle name="40% - 강조색1 2" xfId="1453"/>
    <cellStyle name="40% - 강조색1 20" xfId="1454"/>
    <cellStyle name="40% - 강조색1 20 2" xfId="1455"/>
    <cellStyle name="40% - 강조색1 20 3" xfId="1456"/>
    <cellStyle name="40% - 강조색1 20_Sheet1" xfId="1457"/>
    <cellStyle name="40% - 강조색1 21" xfId="1458"/>
    <cellStyle name="40% - 강조색1 21 2" xfId="1459"/>
    <cellStyle name="40% - 강조색1 21 3" xfId="1460"/>
    <cellStyle name="40% - 강조색1 21_Sheet1" xfId="1461"/>
    <cellStyle name="40% - 강조색1 22" xfId="1462"/>
    <cellStyle name="40% - 강조색1 22 2" xfId="1463"/>
    <cellStyle name="40% - 강조색1 22 3" xfId="1464"/>
    <cellStyle name="40% - 강조색1 22_Sheet1" xfId="1465"/>
    <cellStyle name="40% - 강조색1 23" xfId="1466"/>
    <cellStyle name="40% - 강조색1 23 2" xfId="1467"/>
    <cellStyle name="40% - 강조색1 23 3" xfId="1468"/>
    <cellStyle name="40% - 강조색1 23_Sheet1" xfId="1469"/>
    <cellStyle name="40% - 강조색1 24" xfId="1470"/>
    <cellStyle name="40% - 강조색1 24 2" xfId="1471"/>
    <cellStyle name="40% - 강조색1 24 3" xfId="1472"/>
    <cellStyle name="40% - 강조색1 24_Sheet1" xfId="1473"/>
    <cellStyle name="40% - 강조색1 25" xfId="1474"/>
    <cellStyle name="40% - 강조색1 25 2" xfId="1475"/>
    <cellStyle name="40% - 강조색1 25 3" xfId="1476"/>
    <cellStyle name="40% - 강조색1 25_Sheet1" xfId="1477"/>
    <cellStyle name="40% - 강조색1 26" xfId="1478"/>
    <cellStyle name="40% - 강조색1 26 2" xfId="1479"/>
    <cellStyle name="40% - 강조색1 26 3" xfId="1480"/>
    <cellStyle name="40% - 강조색1 26_Sheet1" xfId="1481"/>
    <cellStyle name="40% - 강조색1 27" xfId="1482"/>
    <cellStyle name="40% - 강조색1 27 2" xfId="1483"/>
    <cellStyle name="40% - 강조색1 27 3" xfId="1484"/>
    <cellStyle name="40% - 강조색1 27_Sheet1" xfId="1485"/>
    <cellStyle name="40% - 강조색1 28" xfId="1486"/>
    <cellStyle name="40% - 강조색1 28 2" xfId="1487"/>
    <cellStyle name="40% - 강조색1 28 3" xfId="1488"/>
    <cellStyle name="40% - 강조색1 28_Sheet1" xfId="1489"/>
    <cellStyle name="40% - 강조색1 29" xfId="1490"/>
    <cellStyle name="40% - 강조색1 29 2" xfId="1491"/>
    <cellStyle name="40% - 강조색1 29 3" xfId="1492"/>
    <cellStyle name="40% - 강조색1 29_Sheet1" xfId="1493"/>
    <cellStyle name="40% - 강조색1 3" xfId="1494"/>
    <cellStyle name="40% - 강조색1 30" xfId="1495"/>
    <cellStyle name="40% - 강조색1 30 2" xfId="1496"/>
    <cellStyle name="40% - 강조색1 30 3" xfId="1497"/>
    <cellStyle name="40% - 강조색1 30_Sheet1" xfId="1498"/>
    <cellStyle name="40% - 강조색1 31" xfId="1499"/>
    <cellStyle name="40% - 강조색1 31 2" xfId="1500"/>
    <cellStyle name="40% - 강조색1 31 3" xfId="1501"/>
    <cellStyle name="40% - 강조색1 31_Sheet1" xfId="1502"/>
    <cellStyle name="40% - 강조색1 32" xfId="1503"/>
    <cellStyle name="40% - 강조색1 32 2" xfId="1504"/>
    <cellStyle name="40% - 강조색1 32 3" xfId="1505"/>
    <cellStyle name="40% - 강조색1 32_Sheet1" xfId="1506"/>
    <cellStyle name="40% - 강조색1 33" xfId="1507"/>
    <cellStyle name="40% - 강조색1 33 2" xfId="1508"/>
    <cellStyle name="40% - 강조색1 33 3" xfId="1509"/>
    <cellStyle name="40% - 강조색1 33_Sheet1" xfId="1510"/>
    <cellStyle name="40% - 강조색1 34" xfId="1511"/>
    <cellStyle name="40% - 강조색1 34 2" xfId="1512"/>
    <cellStyle name="40% - 강조색1 34 3" xfId="1513"/>
    <cellStyle name="40% - 강조색1 34_Sheet1" xfId="1514"/>
    <cellStyle name="40% - 강조색1 35" xfId="1515"/>
    <cellStyle name="40% - 강조색1 35 2" xfId="1516"/>
    <cellStyle name="40% - 강조색1 35 3" xfId="1517"/>
    <cellStyle name="40% - 강조색1 35_Sheet1" xfId="1518"/>
    <cellStyle name="40% - 강조색1 36" xfId="1519"/>
    <cellStyle name="40% - 강조색1 36 2" xfId="1520"/>
    <cellStyle name="40% - 강조색1 36 3" xfId="1521"/>
    <cellStyle name="40% - 강조색1 36_Sheet1" xfId="1522"/>
    <cellStyle name="40% - 강조색1 37" xfId="1523"/>
    <cellStyle name="40% - 강조색1 37 2" xfId="1524"/>
    <cellStyle name="40% - 강조색1 37 3" xfId="1525"/>
    <cellStyle name="40% - 강조색1 37_Sheet1" xfId="1526"/>
    <cellStyle name="40% - 강조색1 38" xfId="1527"/>
    <cellStyle name="40% - 강조색1 38 2" xfId="1528"/>
    <cellStyle name="40% - 강조색1 38 3" xfId="1529"/>
    <cellStyle name="40% - 강조색1 38_Sheet1" xfId="1530"/>
    <cellStyle name="40% - 강조색1 39" xfId="1531"/>
    <cellStyle name="40% - 강조색1 39 2" xfId="1532"/>
    <cellStyle name="40% - 강조색1 39 3" xfId="1533"/>
    <cellStyle name="40% - 강조색1 39_Sheet1" xfId="1534"/>
    <cellStyle name="40% - 강조색1 4" xfId="1535"/>
    <cellStyle name="40% - 강조색1 40" xfId="1536"/>
    <cellStyle name="40% - 강조색1 40 2" xfId="1537"/>
    <cellStyle name="40% - 강조색1 40 3" xfId="1538"/>
    <cellStyle name="40% - 강조색1 40_Sheet1" xfId="1539"/>
    <cellStyle name="40% - 강조색1 41" xfId="1540"/>
    <cellStyle name="40% - 강조색1 41 2" xfId="1541"/>
    <cellStyle name="40% - 강조색1 41 3" xfId="1542"/>
    <cellStyle name="40% - 강조색1 41_Sheet1" xfId="1543"/>
    <cellStyle name="40% - 강조색1 42" xfId="1544"/>
    <cellStyle name="40% - 강조색1 42 2" xfId="1545"/>
    <cellStyle name="40% - 강조색1 42 3" xfId="1546"/>
    <cellStyle name="40% - 강조색1 42_Sheet1" xfId="1547"/>
    <cellStyle name="40% - 강조색1 43" xfId="1548"/>
    <cellStyle name="40% - 강조색1 43 2" xfId="1549"/>
    <cellStyle name="40% - 강조색1 43 3" xfId="1550"/>
    <cellStyle name="40% - 강조색1 43_Sheet1" xfId="1551"/>
    <cellStyle name="40% - 강조색1 44" xfId="1552"/>
    <cellStyle name="40% - 강조색1 44 2" xfId="1553"/>
    <cellStyle name="40% - 강조색1 44 3" xfId="1554"/>
    <cellStyle name="40% - 강조색1 44_Sheet1" xfId="1555"/>
    <cellStyle name="40% - 강조색1 45" xfId="1556"/>
    <cellStyle name="40% - 강조색1 45 2" xfId="1557"/>
    <cellStyle name="40% - 강조색1 45 3" xfId="1558"/>
    <cellStyle name="40% - 강조색1 45_Sheet1" xfId="1559"/>
    <cellStyle name="40% - 강조색1 46" xfId="1560"/>
    <cellStyle name="40% - 강조색1 47" xfId="1561"/>
    <cellStyle name="40% - 강조색1 48" xfId="1562"/>
    <cellStyle name="40% - 강조색1 49" xfId="1563"/>
    <cellStyle name="40% - 강조색1 5" xfId="1564"/>
    <cellStyle name="40% - 강조색1 5 2" xfId="1565"/>
    <cellStyle name="40% - 강조색1 5 3" xfId="1566"/>
    <cellStyle name="40% - 강조색1 5_Sheet1" xfId="1567"/>
    <cellStyle name="40% - 강조색1 50" xfId="1568"/>
    <cellStyle name="40% - 강조색1 51" xfId="1569"/>
    <cellStyle name="40% - 강조색1 52" xfId="1570"/>
    <cellStyle name="40% - 강조색1 53" xfId="1571"/>
    <cellStyle name="40% - 강조색1 54" xfId="1572"/>
    <cellStyle name="40% - 강조색1 55" xfId="1573"/>
    <cellStyle name="40% - 강조색1 56" xfId="1574"/>
    <cellStyle name="40% - 강조색1 57" xfId="1575"/>
    <cellStyle name="40% - 강조색1 58" xfId="1576"/>
    <cellStyle name="40% - 강조색1 59" xfId="1577"/>
    <cellStyle name="40% - 강조색1 6" xfId="1578"/>
    <cellStyle name="40% - 강조색1 6 2" xfId="1579"/>
    <cellStyle name="40% - 강조색1 6 3" xfId="1580"/>
    <cellStyle name="40% - 강조색1 6_Sheet1" xfId="1581"/>
    <cellStyle name="40% - 강조색1 60" xfId="1582"/>
    <cellStyle name="40% - 강조색1 61" xfId="1583"/>
    <cellStyle name="40% - 강조색1 62" xfId="1584"/>
    <cellStyle name="40% - 강조색1 63" xfId="1585"/>
    <cellStyle name="40% - 강조색1 64" xfId="1586"/>
    <cellStyle name="40% - 강조색1 65" xfId="1587"/>
    <cellStyle name="40% - 강조색1 66" xfId="1588"/>
    <cellStyle name="40% - 강조색1 67" xfId="1589"/>
    <cellStyle name="40% - 강조색1 68" xfId="1590"/>
    <cellStyle name="40% - 강조색1 69" xfId="1591"/>
    <cellStyle name="40% - 강조색1 7" xfId="1592"/>
    <cellStyle name="40% - 강조색1 7 2" xfId="1593"/>
    <cellStyle name="40% - 강조색1 7 3" xfId="1594"/>
    <cellStyle name="40% - 강조색1 7_Sheet1" xfId="1595"/>
    <cellStyle name="40% - 강조색1 70" xfId="1596"/>
    <cellStyle name="40% - 강조색1 71" xfId="1597"/>
    <cellStyle name="40% - 강조색1 72" xfId="1598"/>
    <cellStyle name="40% - 강조색1 73" xfId="1599"/>
    <cellStyle name="40% - 강조색1 74" xfId="1600"/>
    <cellStyle name="40% - 강조색1 75" xfId="1601"/>
    <cellStyle name="40% - 강조색1 76" xfId="1602"/>
    <cellStyle name="40% - 강조색1 77" xfId="1603"/>
    <cellStyle name="40% - 강조색1 78" xfId="1604"/>
    <cellStyle name="40% - 강조색1 79" xfId="1605"/>
    <cellStyle name="40% - 강조색1 8" xfId="1606"/>
    <cellStyle name="40% - 강조색1 8 2" xfId="1607"/>
    <cellStyle name="40% - 강조색1 8 3" xfId="1608"/>
    <cellStyle name="40% - 강조색1 8_Sheet1" xfId="1609"/>
    <cellStyle name="40% - 강조색1 80" xfId="1610"/>
    <cellStyle name="40% - 강조색1 81" xfId="1611"/>
    <cellStyle name="40% - 강조색1 82" xfId="1612"/>
    <cellStyle name="40% - 강조색1 83" xfId="1613"/>
    <cellStyle name="40% - 강조색1 84" xfId="1614"/>
    <cellStyle name="40% - 강조색1 85" xfId="1615"/>
    <cellStyle name="40% - 강조색1 86" xfId="1616"/>
    <cellStyle name="40% - 강조색1 87" xfId="1617"/>
    <cellStyle name="40% - 강조색1 88" xfId="1618"/>
    <cellStyle name="40% - 강조색1 89" xfId="1619"/>
    <cellStyle name="40% - 강조색1 9" xfId="1620"/>
    <cellStyle name="40% - 강조색1 9 2" xfId="1621"/>
    <cellStyle name="40% - 강조색1 9 3" xfId="1622"/>
    <cellStyle name="40% - 강조색1 9_Sheet1" xfId="1623"/>
    <cellStyle name="40% - 강조색1 90" xfId="1624"/>
    <cellStyle name="40% - 강조색1 91" xfId="1625"/>
    <cellStyle name="40% - 강조색1 92" xfId="1626"/>
    <cellStyle name="40% - 강조색1 93" xfId="1627"/>
    <cellStyle name="40% - 강조색1 94" xfId="1628"/>
    <cellStyle name="40% - 강조색1 95" xfId="1629"/>
    <cellStyle name="40% - 강조색1 96" xfId="1630"/>
    <cellStyle name="40% - 강조색1 97" xfId="1631"/>
    <cellStyle name="40% - 강조색1 98" xfId="1632"/>
    <cellStyle name="40% - 강조색1 99" xfId="1633"/>
    <cellStyle name="40% - 강조색2 10" xfId="1634"/>
    <cellStyle name="40% - 강조색2 10 2" xfId="1635"/>
    <cellStyle name="40% - 강조색2 10 3" xfId="1636"/>
    <cellStyle name="40% - 강조색2 10_Sheet1" xfId="1637"/>
    <cellStyle name="40% - 강조색2 100" xfId="1638"/>
    <cellStyle name="40% - 강조색2 101" xfId="1639"/>
    <cellStyle name="40% - 강조색2 102" xfId="1640"/>
    <cellStyle name="40% - 강조색2 103" xfId="1641"/>
    <cellStyle name="40% - 강조색2 104" xfId="1642"/>
    <cellStyle name="40% - 강조색2 105" xfId="1643"/>
    <cellStyle name="40% - 강조색2 106" xfId="1644"/>
    <cellStyle name="40% - 강조색2 107" xfId="1645"/>
    <cellStyle name="40% - 강조색2 108" xfId="1646"/>
    <cellStyle name="40% - 강조색2 109" xfId="1647"/>
    <cellStyle name="40% - 강조색2 11" xfId="1648"/>
    <cellStyle name="40% - 강조색2 11 2" xfId="1649"/>
    <cellStyle name="40% - 강조색2 11 3" xfId="1650"/>
    <cellStyle name="40% - 강조색2 11_Sheet1" xfId="1651"/>
    <cellStyle name="40% - 강조색2 110" xfId="1652"/>
    <cellStyle name="40% - 강조색2 111" xfId="1653"/>
    <cellStyle name="40% - 강조색2 12" xfId="1654"/>
    <cellStyle name="40% - 강조색2 12 2" xfId="1655"/>
    <cellStyle name="40% - 강조색2 12 3" xfId="1656"/>
    <cellStyle name="40% - 강조색2 12_Sheet1" xfId="1657"/>
    <cellStyle name="40% - 강조색2 13" xfId="1658"/>
    <cellStyle name="40% - 강조색2 13 2" xfId="1659"/>
    <cellStyle name="40% - 강조색2 13 3" xfId="1660"/>
    <cellStyle name="40% - 강조색2 13_Sheet1" xfId="1661"/>
    <cellStyle name="40% - 강조색2 14" xfId="1662"/>
    <cellStyle name="40% - 강조색2 14 2" xfId="1663"/>
    <cellStyle name="40% - 강조색2 14 3" xfId="1664"/>
    <cellStyle name="40% - 강조색2 14_Sheet1" xfId="1665"/>
    <cellStyle name="40% - 강조색2 15" xfId="1666"/>
    <cellStyle name="40% - 강조색2 15 2" xfId="1667"/>
    <cellStyle name="40% - 강조색2 15 3" xfId="1668"/>
    <cellStyle name="40% - 강조색2 15_Sheet1" xfId="1669"/>
    <cellStyle name="40% - 강조색2 16" xfId="1670"/>
    <cellStyle name="40% - 강조색2 16 2" xfId="1671"/>
    <cellStyle name="40% - 강조색2 16 3" xfId="1672"/>
    <cellStyle name="40% - 강조색2 16_Sheet1" xfId="1673"/>
    <cellStyle name="40% - 강조색2 17" xfId="1674"/>
    <cellStyle name="40% - 강조색2 17 2" xfId="1675"/>
    <cellStyle name="40% - 강조색2 17 3" xfId="1676"/>
    <cellStyle name="40% - 강조색2 17_Sheet1" xfId="1677"/>
    <cellStyle name="40% - 강조색2 18" xfId="1678"/>
    <cellStyle name="40% - 강조색2 18 2" xfId="1679"/>
    <cellStyle name="40% - 강조색2 18 3" xfId="1680"/>
    <cellStyle name="40% - 강조색2 18_Sheet1" xfId="1681"/>
    <cellStyle name="40% - 강조색2 19" xfId="1682"/>
    <cellStyle name="40% - 강조색2 19 2" xfId="1683"/>
    <cellStyle name="40% - 강조색2 19 3" xfId="1684"/>
    <cellStyle name="40% - 강조색2 19_Sheet1" xfId="1685"/>
    <cellStyle name="40% - 강조색2 2" xfId="1686"/>
    <cellStyle name="40% - 강조색2 20" xfId="1687"/>
    <cellStyle name="40% - 강조색2 20 2" xfId="1688"/>
    <cellStyle name="40% - 강조색2 20 3" xfId="1689"/>
    <cellStyle name="40% - 강조색2 20_Sheet1" xfId="1690"/>
    <cellStyle name="40% - 강조색2 21" xfId="1691"/>
    <cellStyle name="40% - 강조색2 21 2" xfId="1692"/>
    <cellStyle name="40% - 강조색2 21 3" xfId="1693"/>
    <cellStyle name="40% - 강조색2 21_Sheet1" xfId="1694"/>
    <cellStyle name="40% - 강조색2 22" xfId="1695"/>
    <cellStyle name="40% - 강조색2 22 2" xfId="1696"/>
    <cellStyle name="40% - 강조색2 22 3" xfId="1697"/>
    <cellStyle name="40% - 강조색2 22_Sheet1" xfId="1698"/>
    <cellStyle name="40% - 강조색2 23" xfId="1699"/>
    <cellStyle name="40% - 강조색2 23 2" xfId="1700"/>
    <cellStyle name="40% - 강조색2 23 3" xfId="1701"/>
    <cellStyle name="40% - 강조색2 23_Sheet1" xfId="1702"/>
    <cellStyle name="40% - 강조색2 24" xfId="1703"/>
    <cellStyle name="40% - 강조색2 24 2" xfId="1704"/>
    <cellStyle name="40% - 강조색2 24 3" xfId="1705"/>
    <cellStyle name="40% - 강조색2 24_Sheet1" xfId="1706"/>
    <cellStyle name="40% - 강조색2 25" xfId="1707"/>
    <cellStyle name="40% - 강조색2 25 2" xfId="1708"/>
    <cellStyle name="40% - 강조색2 25 3" xfId="1709"/>
    <cellStyle name="40% - 강조색2 25_Sheet1" xfId="1710"/>
    <cellStyle name="40% - 강조색2 26" xfId="1711"/>
    <cellStyle name="40% - 강조색2 26 2" xfId="1712"/>
    <cellStyle name="40% - 강조색2 26 3" xfId="1713"/>
    <cellStyle name="40% - 강조색2 26_Sheet1" xfId="1714"/>
    <cellStyle name="40% - 강조색2 27" xfId="1715"/>
    <cellStyle name="40% - 강조색2 27 2" xfId="1716"/>
    <cellStyle name="40% - 강조색2 27 3" xfId="1717"/>
    <cellStyle name="40% - 강조색2 27_Sheet1" xfId="1718"/>
    <cellStyle name="40% - 강조색2 28" xfId="1719"/>
    <cellStyle name="40% - 강조색2 28 2" xfId="1720"/>
    <cellStyle name="40% - 강조색2 28 3" xfId="1721"/>
    <cellStyle name="40% - 강조색2 28_Sheet1" xfId="1722"/>
    <cellStyle name="40% - 강조색2 29" xfId="1723"/>
    <cellStyle name="40% - 강조색2 29 2" xfId="1724"/>
    <cellStyle name="40% - 강조색2 29 3" xfId="1725"/>
    <cellStyle name="40% - 강조색2 29_Sheet1" xfId="1726"/>
    <cellStyle name="40% - 강조색2 3" xfId="1727"/>
    <cellStyle name="40% - 강조색2 30" xfId="1728"/>
    <cellStyle name="40% - 강조색2 30 2" xfId="1729"/>
    <cellStyle name="40% - 강조색2 30 3" xfId="1730"/>
    <cellStyle name="40% - 강조색2 30_Sheet1" xfId="1731"/>
    <cellStyle name="40% - 강조색2 31" xfId="1732"/>
    <cellStyle name="40% - 강조색2 31 2" xfId="1733"/>
    <cellStyle name="40% - 강조색2 31 3" xfId="1734"/>
    <cellStyle name="40% - 강조색2 31_Sheet1" xfId="1735"/>
    <cellStyle name="40% - 강조색2 32" xfId="1736"/>
    <cellStyle name="40% - 강조색2 32 2" xfId="1737"/>
    <cellStyle name="40% - 강조색2 32 3" xfId="1738"/>
    <cellStyle name="40% - 강조색2 32_Sheet1" xfId="1739"/>
    <cellStyle name="40% - 강조색2 33" xfId="1740"/>
    <cellStyle name="40% - 강조색2 33 2" xfId="1741"/>
    <cellStyle name="40% - 강조색2 33 3" xfId="1742"/>
    <cellStyle name="40% - 강조색2 33_Sheet1" xfId="1743"/>
    <cellStyle name="40% - 강조색2 34" xfId="1744"/>
    <cellStyle name="40% - 강조색2 34 2" xfId="1745"/>
    <cellStyle name="40% - 강조색2 34 3" xfId="1746"/>
    <cellStyle name="40% - 강조색2 34_Sheet1" xfId="1747"/>
    <cellStyle name="40% - 강조색2 35" xfId="1748"/>
    <cellStyle name="40% - 강조색2 35 2" xfId="1749"/>
    <cellStyle name="40% - 강조색2 35 3" xfId="1750"/>
    <cellStyle name="40% - 강조색2 35_Sheet1" xfId="1751"/>
    <cellStyle name="40% - 강조색2 36" xfId="1752"/>
    <cellStyle name="40% - 강조색2 36 2" xfId="1753"/>
    <cellStyle name="40% - 강조색2 36 3" xfId="1754"/>
    <cellStyle name="40% - 강조색2 36_Sheet1" xfId="1755"/>
    <cellStyle name="40% - 강조색2 37" xfId="1756"/>
    <cellStyle name="40% - 강조색2 37 2" xfId="1757"/>
    <cellStyle name="40% - 강조색2 37 3" xfId="1758"/>
    <cellStyle name="40% - 강조색2 37_Sheet1" xfId="1759"/>
    <cellStyle name="40% - 강조색2 38" xfId="1760"/>
    <cellStyle name="40% - 강조색2 38 2" xfId="1761"/>
    <cellStyle name="40% - 강조색2 38 3" xfId="1762"/>
    <cellStyle name="40% - 강조색2 38_Sheet1" xfId="1763"/>
    <cellStyle name="40% - 강조색2 39" xfId="1764"/>
    <cellStyle name="40% - 강조색2 39 2" xfId="1765"/>
    <cellStyle name="40% - 강조색2 39 3" xfId="1766"/>
    <cellStyle name="40% - 강조색2 39_Sheet1" xfId="1767"/>
    <cellStyle name="40% - 강조색2 4" xfId="1768"/>
    <cellStyle name="40% - 강조색2 40" xfId="1769"/>
    <cellStyle name="40% - 강조색2 40 2" xfId="1770"/>
    <cellStyle name="40% - 강조색2 40 3" xfId="1771"/>
    <cellStyle name="40% - 강조색2 40_Sheet1" xfId="1772"/>
    <cellStyle name="40% - 강조색2 41" xfId="1773"/>
    <cellStyle name="40% - 강조색2 41 2" xfId="1774"/>
    <cellStyle name="40% - 강조색2 41 3" xfId="1775"/>
    <cellStyle name="40% - 강조색2 41_Sheet1" xfId="1776"/>
    <cellStyle name="40% - 강조색2 42" xfId="1777"/>
    <cellStyle name="40% - 강조색2 42 2" xfId="1778"/>
    <cellStyle name="40% - 강조색2 42 3" xfId="1779"/>
    <cellStyle name="40% - 강조색2 42_Sheet1" xfId="1780"/>
    <cellStyle name="40% - 강조색2 43" xfId="1781"/>
    <cellStyle name="40% - 강조색2 43 2" xfId="1782"/>
    <cellStyle name="40% - 강조색2 43 3" xfId="1783"/>
    <cellStyle name="40% - 강조색2 43_Sheet1" xfId="1784"/>
    <cellStyle name="40% - 강조색2 44" xfId="1785"/>
    <cellStyle name="40% - 강조색2 44 2" xfId="1786"/>
    <cellStyle name="40% - 강조색2 44 3" xfId="1787"/>
    <cellStyle name="40% - 강조색2 44_Sheet1" xfId="1788"/>
    <cellStyle name="40% - 강조색2 45" xfId="1789"/>
    <cellStyle name="40% - 강조색2 45 2" xfId="1790"/>
    <cellStyle name="40% - 강조색2 45 3" xfId="1791"/>
    <cellStyle name="40% - 강조색2 45_Sheet1" xfId="1792"/>
    <cellStyle name="40% - 강조색2 46" xfId="1793"/>
    <cellStyle name="40% - 강조색2 47" xfId="1794"/>
    <cellStyle name="40% - 강조색2 48" xfId="1795"/>
    <cellStyle name="40% - 강조색2 49" xfId="1796"/>
    <cellStyle name="40% - 강조색2 5" xfId="1797"/>
    <cellStyle name="40% - 강조색2 5 2" xfId="1798"/>
    <cellStyle name="40% - 강조색2 5 3" xfId="1799"/>
    <cellStyle name="40% - 강조색2 5_Sheet1" xfId="1800"/>
    <cellStyle name="40% - 강조색2 50" xfId="1801"/>
    <cellStyle name="40% - 강조색2 51" xfId="1802"/>
    <cellStyle name="40% - 강조색2 52" xfId="1803"/>
    <cellStyle name="40% - 강조색2 53" xfId="1804"/>
    <cellStyle name="40% - 강조색2 54" xfId="1805"/>
    <cellStyle name="40% - 강조색2 55" xfId="1806"/>
    <cellStyle name="40% - 강조색2 56" xfId="1807"/>
    <cellStyle name="40% - 강조색2 57" xfId="1808"/>
    <cellStyle name="40% - 강조색2 58" xfId="1809"/>
    <cellStyle name="40% - 강조색2 59" xfId="1810"/>
    <cellStyle name="40% - 강조색2 6" xfId="1811"/>
    <cellStyle name="40% - 강조색2 6 2" xfId="1812"/>
    <cellStyle name="40% - 강조색2 6 3" xfId="1813"/>
    <cellStyle name="40% - 강조색2 6_Sheet1" xfId="1814"/>
    <cellStyle name="40% - 강조색2 60" xfId="1815"/>
    <cellStyle name="40% - 강조색2 61" xfId="1816"/>
    <cellStyle name="40% - 강조색2 62" xfId="1817"/>
    <cellStyle name="40% - 강조색2 63" xfId="1818"/>
    <cellStyle name="40% - 강조색2 64" xfId="1819"/>
    <cellStyle name="40% - 강조색2 65" xfId="1820"/>
    <cellStyle name="40% - 강조색2 66" xfId="1821"/>
    <cellStyle name="40% - 강조색2 67" xfId="1822"/>
    <cellStyle name="40% - 강조색2 68" xfId="1823"/>
    <cellStyle name="40% - 강조색2 69" xfId="1824"/>
    <cellStyle name="40% - 강조색2 7" xfId="1825"/>
    <cellStyle name="40% - 강조색2 7 2" xfId="1826"/>
    <cellStyle name="40% - 강조색2 7 3" xfId="1827"/>
    <cellStyle name="40% - 강조색2 7_Sheet1" xfId="1828"/>
    <cellStyle name="40% - 강조색2 70" xfId="1829"/>
    <cellStyle name="40% - 강조색2 71" xfId="1830"/>
    <cellStyle name="40% - 강조색2 72" xfId="1831"/>
    <cellStyle name="40% - 강조색2 73" xfId="1832"/>
    <cellStyle name="40% - 강조색2 74" xfId="1833"/>
    <cellStyle name="40% - 강조색2 75" xfId="1834"/>
    <cellStyle name="40% - 강조색2 76" xfId="1835"/>
    <cellStyle name="40% - 강조색2 77" xfId="1836"/>
    <cellStyle name="40% - 강조색2 78" xfId="1837"/>
    <cellStyle name="40% - 강조색2 79" xfId="1838"/>
    <cellStyle name="40% - 강조색2 8" xfId="1839"/>
    <cellStyle name="40% - 강조색2 8 2" xfId="1840"/>
    <cellStyle name="40% - 강조색2 8 3" xfId="1841"/>
    <cellStyle name="40% - 강조색2 8_Sheet1" xfId="1842"/>
    <cellStyle name="40% - 강조색2 80" xfId="1843"/>
    <cellStyle name="40% - 강조색2 81" xfId="1844"/>
    <cellStyle name="40% - 강조색2 82" xfId="1845"/>
    <cellStyle name="40% - 강조색2 83" xfId="1846"/>
    <cellStyle name="40% - 강조색2 84" xfId="1847"/>
    <cellStyle name="40% - 강조색2 85" xfId="1848"/>
    <cellStyle name="40% - 강조색2 86" xfId="1849"/>
    <cellStyle name="40% - 강조색2 87" xfId="1850"/>
    <cellStyle name="40% - 강조색2 88" xfId="1851"/>
    <cellStyle name="40% - 강조색2 89" xfId="1852"/>
    <cellStyle name="40% - 강조색2 9" xfId="1853"/>
    <cellStyle name="40% - 강조색2 9 2" xfId="1854"/>
    <cellStyle name="40% - 강조색2 9 3" xfId="1855"/>
    <cellStyle name="40% - 강조색2 9_Sheet1" xfId="1856"/>
    <cellStyle name="40% - 강조색2 90" xfId="1857"/>
    <cellStyle name="40% - 강조색2 91" xfId="1858"/>
    <cellStyle name="40% - 강조색2 92" xfId="1859"/>
    <cellStyle name="40% - 강조색2 93" xfId="1860"/>
    <cellStyle name="40% - 강조색2 94" xfId="1861"/>
    <cellStyle name="40% - 강조색2 95" xfId="1862"/>
    <cellStyle name="40% - 강조색2 96" xfId="1863"/>
    <cellStyle name="40% - 강조색2 97" xfId="1864"/>
    <cellStyle name="40% - 강조색2 98" xfId="1865"/>
    <cellStyle name="40% - 강조색2 99" xfId="1866"/>
    <cellStyle name="40% - 강조색3 10" xfId="1867"/>
    <cellStyle name="40% - 강조색3 10 2" xfId="1868"/>
    <cellStyle name="40% - 강조색3 10 3" xfId="1869"/>
    <cellStyle name="40% - 강조색3 10_Sheet1" xfId="1870"/>
    <cellStyle name="40% - 강조색3 100" xfId="1871"/>
    <cellStyle name="40% - 강조색3 101" xfId="1872"/>
    <cellStyle name="40% - 강조색3 102" xfId="1873"/>
    <cellStyle name="40% - 강조색3 103" xfId="1874"/>
    <cellStyle name="40% - 강조색3 104" xfId="1875"/>
    <cellStyle name="40% - 강조색3 105" xfId="1876"/>
    <cellStyle name="40% - 강조색3 106" xfId="1877"/>
    <cellStyle name="40% - 강조색3 107" xfId="1878"/>
    <cellStyle name="40% - 강조색3 108" xfId="1879"/>
    <cellStyle name="40% - 강조색3 109" xfId="1880"/>
    <cellStyle name="40% - 강조색3 11" xfId="1881"/>
    <cellStyle name="40% - 강조색3 11 2" xfId="1882"/>
    <cellStyle name="40% - 강조색3 11 3" xfId="1883"/>
    <cellStyle name="40% - 강조색3 11_Sheet1" xfId="1884"/>
    <cellStyle name="40% - 강조색3 110" xfId="1885"/>
    <cellStyle name="40% - 강조색3 111" xfId="1886"/>
    <cellStyle name="40% - 강조색3 12" xfId="1887"/>
    <cellStyle name="40% - 강조색3 12 2" xfId="1888"/>
    <cellStyle name="40% - 강조색3 12 3" xfId="1889"/>
    <cellStyle name="40% - 강조색3 12_Sheet1" xfId="1890"/>
    <cellStyle name="40% - 강조색3 13" xfId="1891"/>
    <cellStyle name="40% - 강조색3 13 2" xfId="1892"/>
    <cellStyle name="40% - 강조색3 13 3" xfId="1893"/>
    <cellStyle name="40% - 강조색3 13_Sheet1" xfId="1894"/>
    <cellStyle name="40% - 강조색3 14" xfId="1895"/>
    <cellStyle name="40% - 강조색3 14 2" xfId="1896"/>
    <cellStyle name="40% - 강조색3 14 3" xfId="1897"/>
    <cellStyle name="40% - 강조색3 14_Sheet1" xfId="1898"/>
    <cellStyle name="40% - 강조색3 15" xfId="1899"/>
    <cellStyle name="40% - 강조색3 15 2" xfId="1900"/>
    <cellStyle name="40% - 강조색3 15 3" xfId="1901"/>
    <cellStyle name="40% - 강조색3 15_Sheet1" xfId="1902"/>
    <cellStyle name="40% - 강조색3 16" xfId="1903"/>
    <cellStyle name="40% - 강조색3 16 2" xfId="1904"/>
    <cellStyle name="40% - 강조색3 16 3" xfId="1905"/>
    <cellStyle name="40% - 강조색3 16_Sheet1" xfId="1906"/>
    <cellStyle name="40% - 강조색3 17" xfId="1907"/>
    <cellStyle name="40% - 강조색3 17 2" xfId="1908"/>
    <cellStyle name="40% - 강조색3 17 3" xfId="1909"/>
    <cellStyle name="40% - 강조색3 17_Sheet1" xfId="1910"/>
    <cellStyle name="40% - 강조색3 18" xfId="1911"/>
    <cellStyle name="40% - 강조색3 18 2" xfId="1912"/>
    <cellStyle name="40% - 강조색3 18 3" xfId="1913"/>
    <cellStyle name="40% - 강조색3 18_Sheet1" xfId="1914"/>
    <cellStyle name="40% - 강조색3 19" xfId="1915"/>
    <cellStyle name="40% - 강조색3 19 2" xfId="1916"/>
    <cellStyle name="40% - 강조색3 19 3" xfId="1917"/>
    <cellStyle name="40% - 강조색3 19_Sheet1" xfId="1918"/>
    <cellStyle name="40% - 강조색3 2" xfId="1919"/>
    <cellStyle name="40% - 강조색3 20" xfId="1920"/>
    <cellStyle name="40% - 강조색3 20 2" xfId="1921"/>
    <cellStyle name="40% - 강조색3 20 3" xfId="1922"/>
    <cellStyle name="40% - 강조색3 20_Sheet1" xfId="1923"/>
    <cellStyle name="40% - 강조색3 21" xfId="1924"/>
    <cellStyle name="40% - 강조색3 21 2" xfId="1925"/>
    <cellStyle name="40% - 강조색3 21 3" xfId="1926"/>
    <cellStyle name="40% - 강조색3 21_Sheet1" xfId="1927"/>
    <cellStyle name="40% - 강조색3 22" xfId="1928"/>
    <cellStyle name="40% - 강조색3 22 2" xfId="1929"/>
    <cellStyle name="40% - 강조색3 22 3" xfId="1930"/>
    <cellStyle name="40% - 강조색3 22_Sheet1" xfId="1931"/>
    <cellStyle name="40% - 강조색3 23" xfId="1932"/>
    <cellStyle name="40% - 강조색3 23 2" xfId="1933"/>
    <cellStyle name="40% - 강조색3 23 3" xfId="1934"/>
    <cellStyle name="40% - 강조색3 23_Sheet1" xfId="1935"/>
    <cellStyle name="40% - 강조색3 24" xfId="1936"/>
    <cellStyle name="40% - 강조색3 24 2" xfId="1937"/>
    <cellStyle name="40% - 강조색3 24 3" xfId="1938"/>
    <cellStyle name="40% - 강조색3 24_Sheet1" xfId="1939"/>
    <cellStyle name="40% - 강조색3 25" xfId="1940"/>
    <cellStyle name="40% - 강조색3 25 2" xfId="1941"/>
    <cellStyle name="40% - 강조색3 25 3" xfId="1942"/>
    <cellStyle name="40% - 강조색3 25_Sheet1" xfId="1943"/>
    <cellStyle name="40% - 강조색3 26" xfId="1944"/>
    <cellStyle name="40% - 강조색3 26 2" xfId="1945"/>
    <cellStyle name="40% - 강조색3 26 3" xfId="1946"/>
    <cellStyle name="40% - 강조색3 26_Sheet1" xfId="1947"/>
    <cellStyle name="40% - 강조색3 27" xfId="1948"/>
    <cellStyle name="40% - 강조색3 27 2" xfId="1949"/>
    <cellStyle name="40% - 강조색3 27 3" xfId="1950"/>
    <cellStyle name="40% - 강조색3 27_Sheet1" xfId="1951"/>
    <cellStyle name="40% - 강조색3 28" xfId="1952"/>
    <cellStyle name="40% - 강조색3 28 2" xfId="1953"/>
    <cellStyle name="40% - 강조색3 28 3" xfId="1954"/>
    <cellStyle name="40% - 강조색3 28_Sheet1" xfId="1955"/>
    <cellStyle name="40% - 강조색3 29" xfId="1956"/>
    <cellStyle name="40% - 강조색3 29 2" xfId="1957"/>
    <cellStyle name="40% - 강조색3 29 3" xfId="1958"/>
    <cellStyle name="40% - 강조색3 29_Sheet1" xfId="1959"/>
    <cellStyle name="40% - 강조색3 3" xfId="1960"/>
    <cellStyle name="40% - 강조색3 30" xfId="1961"/>
    <cellStyle name="40% - 강조색3 30 2" xfId="1962"/>
    <cellStyle name="40% - 강조색3 30 3" xfId="1963"/>
    <cellStyle name="40% - 강조색3 30_Sheet1" xfId="1964"/>
    <cellStyle name="40% - 강조색3 31" xfId="1965"/>
    <cellStyle name="40% - 강조색3 31 2" xfId="1966"/>
    <cellStyle name="40% - 강조색3 31 3" xfId="1967"/>
    <cellStyle name="40% - 강조색3 31_Sheet1" xfId="1968"/>
    <cellStyle name="40% - 강조색3 32" xfId="1969"/>
    <cellStyle name="40% - 강조색3 32 2" xfId="1970"/>
    <cellStyle name="40% - 강조색3 32 3" xfId="1971"/>
    <cellStyle name="40% - 강조색3 32_Sheet1" xfId="1972"/>
    <cellStyle name="40% - 강조색3 33" xfId="1973"/>
    <cellStyle name="40% - 강조색3 33 2" xfId="1974"/>
    <cellStyle name="40% - 강조색3 33 3" xfId="1975"/>
    <cellStyle name="40% - 강조색3 33_Sheet1" xfId="1976"/>
    <cellStyle name="40% - 강조색3 34" xfId="1977"/>
    <cellStyle name="40% - 강조색3 34 2" xfId="1978"/>
    <cellStyle name="40% - 강조색3 34 3" xfId="1979"/>
    <cellStyle name="40% - 강조색3 34_Sheet1" xfId="1980"/>
    <cellStyle name="40% - 강조색3 35" xfId="1981"/>
    <cellStyle name="40% - 강조색3 35 2" xfId="1982"/>
    <cellStyle name="40% - 강조색3 35 3" xfId="1983"/>
    <cellStyle name="40% - 강조색3 35_Sheet1" xfId="1984"/>
    <cellStyle name="40% - 강조색3 36" xfId="1985"/>
    <cellStyle name="40% - 강조색3 36 2" xfId="1986"/>
    <cellStyle name="40% - 강조색3 36 3" xfId="1987"/>
    <cellStyle name="40% - 강조색3 36_Sheet1" xfId="1988"/>
    <cellStyle name="40% - 강조색3 37" xfId="1989"/>
    <cellStyle name="40% - 강조색3 37 2" xfId="1990"/>
    <cellStyle name="40% - 강조색3 37 3" xfId="1991"/>
    <cellStyle name="40% - 강조색3 37_Sheet1" xfId="1992"/>
    <cellStyle name="40% - 강조색3 38" xfId="1993"/>
    <cellStyle name="40% - 강조색3 38 2" xfId="1994"/>
    <cellStyle name="40% - 강조색3 38 3" xfId="1995"/>
    <cellStyle name="40% - 강조색3 38_Sheet1" xfId="1996"/>
    <cellStyle name="40% - 강조색3 39" xfId="1997"/>
    <cellStyle name="40% - 강조색3 39 2" xfId="1998"/>
    <cellStyle name="40% - 강조색3 39 3" xfId="1999"/>
    <cellStyle name="40% - 강조색3 39_Sheet1" xfId="2000"/>
    <cellStyle name="40% - 강조색3 4" xfId="2001"/>
    <cellStyle name="40% - 강조색3 40" xfId="2002"/>
    <cellStyle name="40% - 강조색3 40 2" xfId="2003"/>
    <cellStyle name="40% - 강조색3 40 3" xfId="2004"/>
    <cellStyle name="40% - 강조색3 40_Sheet1" xfId="2005"/>
    <cellStyle name="40% - 강조색3 41" xfId="2006"/>
    <cellStyle name="40% - 강조색3 41 2" xfId="2007"/>
    <cellStyle name="40% - 강조색3 41 3" xfId="2008"/>
    <cellStyle name="40% - 강조색3 41_Sheet1" xfId="2009"/>
    <cellStyle name="40% - 강조색3 42" xfId="2010"/>
    <cellStyle name="40% - 강조색3 42 2" xfId="2011"/>
    <cellStyle name="40% - 강조색3 42 3" xfId="2012"/>
    <cellStyle name="40% - 강조색3 42_Sheet1" xfId="2013"/>
    <cellStyle name="40% - 강조색3 43" xfId="2014"/>
    <cellStyle name="40% - 강조색3 43 2" xfId="2015"/>
    <cellStyle name="40% - 강조색3 43 3" xfId="2016"/>
    <cellStyle name="40% - 강조색3 43_Sheet1" xfId="2017"/>
    <cellStyle name="40% - 강조색3 44" xfId="2018"/>
    <cellStyle name="40% - 강조색3 44 2" xfId="2019"/>
    <cellStyle name="40% - 강조색3 44 3" xfId="2020"/>
    <cellStyle name="40% - 강조색3 44_Sheet1" xfId="2021"/>
    <cellStyle name="40% - 강조색3 45" xfId="2022"/>
    <cellStyle name="40% - 강조색3 45 2" xfId="2023"/>
    <cellStyle name="40% - 강조색3 45 3" xfId="2024"/>
    <cellStyle name="40% - 강조색3 45_Sheet1" xfId="2025"/>
    <cellStyle name="40% - 강조색3 46" xfId="2026"/>
    <cellStyle name="40% - 강조색3 47" xfId="2027"/>
    <cellStyle name="40% - 강조색3 48" xfId="2028"/>
    <cellStyle name="40% - 강조색3 49" xfId="2029"/>
    <cellStyle name="40% - 강조색3 5" xfId="2030"/>
    <cellStyle name="40% - 강조색3 5 2" xfId="2031"/>
    <cellStyle name="40% - 강조색3 5 3" xfId="2032"/>
    <cellStyle name="40% - 강조색3 5_Sheet1" xfId="2033"/>
    <cellStyle name="40% - 강조색3 50" xfId="2034"/>
    <cellStyle name="40% - 강조색3 51" xfId="2035"/>
    <cellStyle name="40% - 강조색3 52" xfId="2036"/>
    <cellStyle name="40% - 강조색3 53" xfId="2037"/>
    <cellStyle name="40% - 강조색3 54" xfId="2038"/>
    <cellStyle name="40% - 강조색3 55" xfId="2039"/>
    <cellStyle name="40% - 강조색3 56" xfId="2040"/>
    <cellStyle name="40% - 강조색3 57" xfId="2041"/>
    <cellStyle name="40% - 강조색3 58" xfId="2042"/>
    <cellStyle name="40% - 강조색3 59" xfId="2043"/>
    <cellStyle name="40% - 강조색3 6" xfId="2044"/>
    <cellStyle name="40% - 강조색3 6 2" xfId="2045"/>
    <cellStyle name="40% - 강조색3 6 3" xfId="2046"/>
    <cellStyle name="40% - 강조색3 6_Sheet1" xfId="2047"/>
    <cellStyle name="40% - 강조색3 60" xfId="2048"/>
    <cellStyle name="40% - 강조색3 61" xfId="2049"/>
    <cellStyle name="40% - 강조색3 62" xfId="2050"/>
    <cellStyle name="40% - 강조색3 63" xfId="2051"/>
    <cellStyle name="40% - 강조색3 64" xfId="2052"/>
    <cellStyle name="40% - 강조색3 65" xfId="2053"/>
    <cellStyle name="40% - 강조색3 66" xfId="2054"/>
    <cellStyle name="40% - 강조색3 67" xfId="2055"/>
    <cellStyle name="40% - 강조색3 68" xfId="2056"/>
    <cellStyle name="40% - 강조색3 69" xfId="2057"/>
    <cellStyle name="40% - 강조색3 7" xfId="2058"/>
    <cellStyle name="40% - 강조색3 7 2" xfId="2059"/>
    <cellStyle name="40% - 강조색3 7 3" xfId="2060"/>
    <cellStyle name="40% - 강조색3 7_Sheet1" xfId="2061"/>
    <cellStyle name="40% - 강조색3 70" xfId="2062"/>
    <cellStyle name="40% - 강조색3 71" xfId="2063"/>
    <cellStyle name="40% - 강조색3 72" xfId="2064"/>
    <cellStyle name="40% - 강조색3 73" xfId="2065"/>
    <cellStyle name="40% - 강조색3 74" xfId="2066"/>
    <cellStyle name="40% - 강조색3 75" xfId="2067"/>
    <cellStyle name="40% - 강조색3 76" xfId="2068"/>
    <cellStyle name="40% - 강조색3 77" xfId="2069"/>
    <cellStyle name="40% - 강조색3 78" xfId="2070"/>
    <cellStyle name="40% - 강조색3 79" xfId="2071"/>
    <cellStyle name="40% - 강조색3 8" xfId="2072"/>
    <cellStyle name="40% - 강조색3 8 2" xfId="2073"/>
    <cellStyle name="40% - 강조색3 8 3" xfId="2074"/>
    <cellStyle name="40% - 강조색3 8_Sheet1" xfId="2075"/>
    <cellStyle name="40% - 강조색3 80" xfId="2076"/>
    <cellStyle name="40% - 강조색3 81" xfId="2077"/>
    <cellStyle name="40% - 강조색3 82" xfId="2078"/>
    <cellStyle name="40% - 강조색3 83" xfId="2079"/>
    <cellStyle name="40% - 강조색3 84" xfId="2080"/>
    <cellStyle name="40% - 강조색3 85" xfId="2081"/>
    <cellStyle name="40% - 강조색3 86" xfId="2082"/>
    <cellStyle name="40% - 강조색3 87" xfId="2083"/>
    <cellStyle name="40% - 강조색3 88" xfId="2084"/>
    <cellStyle name="40% - 강조색3 89" xfId="2085"/>
    <cellStyle name="40% - 강조색3 9" xfId="2086"/>
    <cellStyle name="40% - 강조색3 9 2" xfId="2087"/>
    <cellStyle name="40% - 강조색3 9 3" xfId="2088"/>
    <cellStyle name="40% - 강조색3 9_Sheet1" xfId="2089"/>
    <cellStyle name="40% - 강조색3 90" xfId="2090"/>
    <cellStyle name="40% - 강조색3 91" xfId="2091"/>
    <cellStyle name="40% - 강조색3 92" xfId="2092"/>
    <cellStyle name="40% - 강조색3 93" xfId="2093"/>
    <cellStyle name="40% - 강조색3 94" xfId="2094"/>
    <cellStyle name="40% - 강조색3 95" xfId="2095"/>
    <cellStyle name="40% - 강조색3 96" xfId="2096"/>
    <cellStyle name="40% - 강조색3 97" xfId="2097"/>
    <cellStyle name="40% - 강조색3 98" xfId="2098"/>
    <cellStyle name="40% - 강조색3 99" xfId="2099"/>
    <cellStyle name="40% - 강조색4 10" xfId="2100"/>
    <cellStyle name="40% - 강조색4 10 2" xfId="2101"/>
    <cellStyle name="40% - 강조색4 10 3" xfId="2102"/>
    <cellStyle name="40% - 강조색4 10_Sheet1" xfId="2103"/>
    <cellStyle name="40% - 강조색4 100" xfId="2104"/>
    <cellStyle name="40% - 강조색4 101" xfId="2105"/>
    <cellStyle name="40% - 강조색4 102" xfId="2106"/>
    <cellStyle name="40% - 강조색4 103" xfId="2107"/>
    <cellStyle name="40% - 강조색4 104" xfId="2108"/>
    <cellStyle name="40% - 강조색4 105" xfId="2109"/>
    <cellStyle name="40% - 강조색4 106" xfId="2110"/>
    <cellStyle name="40% - 강조색4 107" xfId="2111"/>
    <cellStyle name="40% - 강조색4 108" xfId="2112"/>
    <cellStyle name="40% - 강조색4 109" xfId="2113"/>
    <cellStyle name="40% - 강조색4 11" xfId="2114"/>
    <cellStyle name="40% - 강조색4 11 2" xfId="2115"/>
    <cellStyle name="40% - 강조색4 11 3" xfId="2116"/>
    <cellStyle name="40% - 강조색4 11_Sheet1" xfId="2117"/>
    <cellStyle name="40% - 강조색4 110" xfId="2118"/>
    <cellStyle name="40% - 강조색4 111" xfId="2119"/>
    <cellStyle name="40% - 강조색4 12" xfId="2120"/>
    <cellStyle name="40% - 강조색4 12 2" xfId="2121"/>
    <cellStyle name="40% - 강조색4 12 3" xfId="2122"/>
    <cellStyle name="40% - 강조색4 12_Sheet1" xfId="2123"/>
    <cellStyle name="40% - 강조색4 13" xfId="2124"/>
    <cellStyle name="40% - 강조색4 13 2" xfId="2125"/>
    <cellStyle name="40% - 강조색4 13 3" xfId="2126"/>
    <cellStyle name="40% - 강조색4 13_Sheet1" xfId="2127"/>
    <cellStyle name="40% - 강조색4 14" xfId="2128"/>
    <cellStyle name="40% - 강조색4 14 2" xfId="2129"/>
    <cellStyle name="40% - 강조색4 14 3" xfId="2130"/>
    <cellStyle name="40% - 강조색4 14_Sheet1" xfId="2131"/>
    <cellStyle name="40% - 강조색4 15" xfId="2132"/>
    <cellStyle name="40% - 강조색4 15 2" xfId="2133"/>
    <cellStyle name="40% - 강조색4 15 3" xfId="2134"/>
    <cellStyle name="40% - 강조색4 15_Sheet1" xfId="2135"/>
    <cellStyle name="40% - 강조색4 16" xfId="2136"/>
    <cellStyle name="40% - 강조색4 16 2" xfId="2137"/>
    <cellStyle name="40% - 강조색4 16 3" xfId="2138"/>
    <cellStyle name="40% - 강조색4 16_Sheet1" xfId="2139"/>
    <cellStyle name="40% - 강조색4 17" xfId="2140"/>
    <cellStyle name="40% - 강조색4 17 2" xfId="2141"/>
    <cellStyle name="40% - 강조색4 17 3" xfId="2142"/>
    <cellStyle name="40% - 강조색4 17_Sheet1" xfId="2143"/>
    <cellStyle name="40% - 강조색4 18" xfId="2144"/>
    <cellStyle name="40% - 강조색4 18 2" xfId="2145"/>
    <cellStyle name="40% - 강조색4 18 3" xfId="2146"/>
    <cellStyle name="40% - 강조색4 18_Sheet1" xfId="2147"/>
    <cellStyle name="40% - 강조색4 19" xfId="2148"/>
    <cellStyle name="40% - 강조색4 19 2" xfId="2149"/>
    <cellStyle name="40% - 강조색4 19 3" xfId="2150"/>
    <cellStyle name="40% - 강조색4 19_Sheet1" xfId="2151"/>
    <cellStyle name="40% - 강조색4 2" xfId="2152"/>
    <cellStyle name="40% - 강조색4 20" xfId="2153"/>
    <cellStyle name="40% - 강조색4 20 2" xfId="2154"/>
    <cellStyle name="40% - 강조색4 20 3" xfId="2155"/>
    <cellStyle name="40% - 강조색4 20_Sheet1" xfId="2156"/>
    <cellStyle name="40% - 강조색4 21" xfId="2157"/>
    <cellStyle name="40% - 강조색4 21 2" xfId="2158"/>
    <cellStyle name="40% - 강조색4 21 3" xfId="2159"/>
    <cellStyle name="40% - 강조색4 21_Sheet1" xfId="2160"/>
    <cellStyle name="40% - 강조색4 22" xfId="2161"/>
    <cellStyle name="40% - 강조색4 22 2" xfId="2162"/>
    <cellStyle name="40% - 강조색4 22 3" xfId="2163"/>
    <cellStyle name="40% - 강조색4 22_Sheet1" xfId="2164"/>
    <cellStyle name="40% - 강조색4 23" xfId="2165"/>
    <cellStyle name="40% - 강조색4 23 2" xfId="2166"/>
    <cellStyle name="40% - 강조색4 23 3" xfId="2167"/>
    <cellStyle name="40% - 강조색4 23_Sheet1" xfId="2168"/>
    <cellStyle name="40% - 강조색4 24" xfId="2169"/>
    <cellStyle name="40% - 강조색4 24 2" xfId="2170"/>
    <cellStyle name="40% - 강조색4 24 3" xfId="2171"/>
    <cellStyle name="40% - 강조색4 24_Sheet1" xfId="2172"/>
    <cellStyle name="40% - 강조색4 25" xfId="2173"/>
    <cellStyle name="40% - 강조색4 25 2" xfId="2174"/>
    <cellStyle name="40% - 강조색4 25 3" xfId="2175"/>
    <cellStyle name="40% - 강조색4 25_Sheet1" xfId="2176"/>
    <cellStyle name="40% - 강조색4 26" xfId="2177"/>
    <cellStyle name="40% - 강조색4 26 2" xfId="2178"/>
    <cellStyle name="40% - 강조색4 26 3" xfId="2179"/>
    <cellStyle name="40% - 강조색4 26_Sheet1" xfId="2180"/>
    <cellStyle name="40% - 강조색4 27" xfId="2181"/>
    <cellStyle name="40% - 강조색4 27 2" xfId="2182"/>
    <cellStyle name="40% - 강조색4 27 3" xfId="2183"/>
    <cellStyle name="40% - 강조색4 27_Sheet1" xfId="2184"/>
    <cellStyle name="40% - 강조색4 28" xfId="2185"/>
    <cellStyle name="40% - 강조색4 28 2" xfId="2186"/>
    <cellStyle name="40% - 강조색4 28 3" xfId="2187"/>
    <cellStyle name="40% - 강조색4 28_Sheet1" xfId="2188"/>
    <cellStyle name="40% - 강조색4 29" xfId="2189"/>
    <cellStyle name="40% - 강조색4 29 2" xfId="2190"/>
    <cellStyle name="40% - 강조색4 29 3" xfId="2191"/>
    <cellStyle name="40% - 강조색4 29_Sheet1" xfId="2192"/>
    <cellStyle name="40% - 강조색4 3" xfId="2193"/>
    <cellStyle name="40% - 강조색4 30" xfId="2194"/>
    <cellStyle name="40% - 강조색4 30 2" xfId="2195"/>
    <cellStyle name="40% - 강조색4 30 3" xfId="2196"/>
    <cellStyle name="40% - 강조색4 30_Sheet1" xfId="2197"/>
    <cellStyle name="40% - 강조색4 31" xfId="2198"/>
    <cellStyle name="40% - 강조색4 31 2" xfId="2199"/>
    <cellStyle name="40% - 강조색4 31 3" xfId="2200"/>
    <cellStyle name="40% - 강조색4 31_Sheet1" xfId="2201"/>
    <cellStyle name="40% - 강조색4 32" xfId="2202"/>
    <cellStyle name="40% - 강조색4 32 2" xfId="2203"/>
    <cellStyle name="40% - 강조색4 32 3" xfId="2204"/>
    <cellStyle name="40% - 강조색4 32_Sheet1" xfId="2205"/>
    <cellStyle name="40% - 강조색4 33" xfId="2206"/>
    <cellStyle name="40% - 강조색4 33 2" xfId="2207"/>
    <cellStyle name="40% - 강조색4 33 3" xfId="2208"/>
    <cellStyle name="40% - 강조색4 33_Sheet1" xfId="2209"/>
    <cellStyle name="40% - 강조색4 34" xfId="2210"/>
    <cellStyle name="40% - 강조색4 34 2" xfId="2211"/>
    <cellStyle name="40% - 강조색4 34 3" xfId="2212"/>
    <cellStyle name="40% - 강조색4 34_Sheet1" xfId="2213"/>
    <cellStyle name="40% - 강조색4 35" xfId="2214"/>
    <cellStyle name="40% - 강조색4 35 2" xfId="2215"/>
    <cellStyle name="40% - 강조색4 35 3" xfId="2216"/>
    <cellStyle name="40% - 강조색4 35_Sheet1" xfId="2217"/>
    <cellStyle name="40% - 강조색4 36" xfId="2218"/>
    <cellStyle name="40% - 강조색4 36 2" xfId="2219"/>
    <cellStyle name="40% - 강조색4 36 3" xfId="2220"/>
    <cellStyle name="40% - 강조색4 36_Sheet1" xfId="2221"/>
    <cellStyle name="40% - 강조색4 37" xfId="2222"/>
    <cellStyle name="40% - 강조색4 37 2" xfId="2223"/>
    <cellStyle name="40% - 강조색4 37 3" xfId="2224"/>
    <cellStyle name="40% - 강조색4 37_Sheet1" xfId="2225"/>
    <cellStyle name="40% - 강조색4 38" xfId="2226"/>
    <cellStyle name="40% - 강조색4 38 2" xfId="2227"/>
    <cellStyle name="40% - 강조색4 38 3" xfId="2228"/>
    <cellStyle name="40% - 강조색4 38_Sheet1" xfId="2229"/>
    <cellStyle name="40% - 강조색4 39" xfId="2230"/>
    <cellStyle name="40% - 강조색4 39 2" xfId="2231"/>
    <cellStyle name="40% - 강조색4 39 3" xfId="2232"/>
    <cellStyle name="40% - 강조색4 39_Sheet1" xfId="2233"/>
    <cellStyle name="40% - 강조색4 4" xfId="2234"/>
    <cellStyle name="40% - 강조색4 40" xfId="2235"/>
    <cellStyle name="40% - 강조색4 40 2" xfId="2236"/>
    <cellStyle name="40% - 강조색4 40 3" xfId="2237"/>
    <cellStyle name="40% - 강조색4 40_Sheet1" xfId="2238"/>
    <cellStyle name="40% - 강조색4 41" xfId="2239"/>
    <cellStyle name="40% - 강조색4 41 2" xfId="2240"/>
    <cellStyle name="40% - 강조색4 41 3" xfId="2241"/>
    <cellStyle name="40% - 강조색4 41_Sheet1" xfId="2242"/>
    <cellStyle name="40% - 강조색4 42" xfId="2243"/>
    <cellStyle name="40% - 강조색4 42 2" xfId="2244"/>
    <cellStyle name="40% - 강조색4 42 3" xfId="2245"/>
    <cellStyle name="40% - 강조색4 42_Sheet1" xfId="2246"/>
    <cellStyle name="40% - 강조색4 43" xfId="2247"/>
    <cellStyle name="40% - 강조색4 43 2" xfId="2248"/>
    <cellStyle name="40% - 강조색4 43 3" xfId="2249"/>
    <cellStyle name="40% - 강조색4 43_Sheet1" xfId="2250"/>
    <cellStyle name="40% - 강조색4 44" xfId="2251"/>
    <cellStyle name="40% - 강조색4 44 2" xfId="2252"/>
    <cellStyle name="40% - 강조색4 44 3" xfId="2253"/>
    <cellStyle name="40% - 강조색4 44_Sheet1" xfId="2254"/>
    <cellStyle name="40% - 강조색4 45" xfId="2255"/>
    <cellStyle name="40% - 강조색4 45 2" xfId="2256"/>
    <cellStyle name="40% - 강조색4 45 3" xfId="2257"/>
    <cellStyle name="40% - 강조색4 45_Sheet1" xfId="2258"/>
    <cellStyle name="40% - 강조색4 46" xfId="2259"/>
    <cellStyle name="40% - 강조색4 47" xfId="2260"/>
    <cellStyle name="40% - 강조색4 48" xfId="2261"/>
    <cellStyle name="40% - 강조색4 49" xfId="2262"/>
    <cellStyle name="40% - 강조색4 5" xfId="2263"/>
    <cellStyle name="40% - 강조색4 5 2" xfId="2264"/>
    <cellStyle name="40% - 강조색4 5 3" xfId="2265"/>
    <cellStyle name="40% - 강조색4 5_Sheet1" xfId="2266"/>
    <cellStyle name="40% - 강조색4 50" xfId="2267"/>
    <cellStyle name="40% - 강조색4 51" xfId="2268"/>
    <cellStyle name="40% - 강조색4 52" xfId="2269"/>
    <cellStyle name="40% - 강조색4 53" xfId="2270"/>
    <cellStyle name="40% - 강조색4 54" xfId="2271"/>
    <cellStyle name="40% - 강조색4 55" xfId="2272"/>
    <cellStyle name="40% - 강조색4 56" xfId="2273"/>
    <cellStyle name="40% - 강조색4 57" xfId="2274"/>
    <cellStyle name="40% - 강조색4 58" xfId="2275"/>
    <cellStyle name="40% - 강조색4 59" xfId="2276"/>
    <cellStyle name="40% - 강조색4 6" xfId="2277"/>
    <cellStyle name="40% - 강조색4 6 2" xfId="2278"/>
    <cellStyle name="40% - 강조색4 6 3" xfId="2279"/>
    <cellStyle name="40% - 강조색4 6_Sheet1" xfId="2280"/>
    <cellStyle name="40% - 강조색4 60" xfId="2281"/>
    <cellStyle name="40% - 강조색4 61" xfId="2282"/>
    <cellStyle name="40% - 강조색4 62" xfId="2283"/>
    <cellStyle name="40% - 강조색4 63" xfId="2284"/>
    <cellStyle name="40% - 강조색4 64" xfId="2285"/>
    <cellStyle name="40% - 강조색4 65" xfId="2286"/>
    <cellStyle name="40% - 강조색4 66" xfId="2287"/>
    <cellStyle name="40% - 강조색4 67" xfId="2288"/>
    <cellStyle name="40% - 강조색4 68" xfId="2289"/>
    <cellStyle name="40% - 강조색4 69" xfId="2290"/>
    <cellStyle name="40% - 강조색4 7" xfId="2291"/>
    <cellStyle name="40% - 강조색4 7 2" xfId="2292"/>
    <cellStyle name="40% - 강조색4 7 3" xfId="2293"/>
    <cellStyle name="40% - 강조색4 7_Sheet1" xfId="2294"/>
    <cellStyle name="40% - 강조색4 70" xfId="2295"/>
    <cellStyle name="40% - 강조색4 71" xfId="2296"/>
    <cellStyle name="40% - 강조색4 72" xfId="2297"/>
    <cellStyle name="40% - 강조색4 73" xfId="2298"/>
    <cellStyle name="40% - 강조색4 74" xfId="2299"/>
    <cellStyle name="40% - 강조색4 75" xfId="2300"/>
    <cellStyle name="40% - 강조색4 76" xfId="2301"/>
    <cellStyle name="40% - 강조색4 77" xfId="2302"/>
    <cellStyle name="40% - 강조색4 78" xfId="2303"/>
    <cellStyle name="40% - 강조색4 79" xfId="2304"/>
    <cellStyle name="40% - 강조색4 8" xfId="2305"/>
    <cellStyle name="40% - 강조색4 8 2" xfId="2306"/>
    <cellStyle name="40% - 강조색4 8 3" xfId="2307"/>
    <cellStyle name="40% - 강조색4 8_Sheet1" xfId="2308"/>
    <cellStyle name="40% - 강조색4 80" xfId="2309"/>
    <cellStyle name="40% - 강조색4 81" xfId="2310"/>
    <cellStyle name="40% - 강조색4 82" xfId="2311"/>
    <cellStyle name="40% - 강조색4 83" xfId="2312"/>
    <cellStyle name="40% - 강조색4 84" xfId="2313"/>
    <cellStyle name="40% - 강조색4 85" xfId="2314"/>
    <cellStyle name="40% - 강조색4 86" xfId="2315"/>
    <cellStyle name="40% - 강조색4 87" xfId="2316"/>
    <cellStyle name="40% - 강조색4 88" xfId="2317"/>
    <cellStyle name="40% - 강조색4 89" xfId="2318"/>
    <cellStyle name="40% - 강조색4 9" xfId="2319"/>
    <cellStyle name="40% - 강조색4 9 2" xfId="2320"/>
    <cellStyle name="40% - 강조색4 9 3" xfId="2321"/>
    <cellStyle name="40% - 강조색4 9_Sheet1" xfId="2322"/>
    <cellStyle name="40% - 강조색4 90" xfId="2323"/>
    <cellStyle name="40% - 강조색4 91" xfId="2324"/>
    <cellStyle name="40% - 강조색4 92" xfId="2325"/>
    <cellStyle name="40% - 강조색4 93" xfId="2326"/>
    <cellStyle name="40% - 강조색4 94" xfId="2327"/>
    <cellStyle name="40% - 강조색4 95" xfId="2328"/>
    <cellStyle name="40% - 강조색4 96" xfId="2329"/>
    <cellStyle name="40% - 강조색4 97" xfId="2330"/>
    <cellStyle name="40% - 강조색4 98" xfId="2331"/>
    <cellStyle name="40% - 강조색4 99" xfId="2332"/>
    <cellStyle name="40% - 강조색5 10" xfId="2333"/>
    <cellStyle name="40% - 강조색5 10 2" xfId="2334"/>
    <cellStyle name="40% - 강조색5 10 3" xfId="2335"/>
    <cellStyle name="40% - 강조색5 10_Sheet1" xfId="2336"/>
    <cellStyle name="40% - 강조색5 100" xfId="2337"/>
    <cellStyle name="40% - 강조색5 101" xfId="2338"/>
    <cellStyle name="40% - 강조색5 102" xfId="2339"/>
    <cellStyle name="40% - 강조색5 103" xfId="2340"/>
    <cellStyle name="40% - 강조색5 104" xfId="2341"/>
    <cellStyle name="40% - 강조색5 105" xfId="2342"/>
    <cellStyle name="40% - 강조색5 106" xfId="2343"/>
    <cellStyle name="40% - 강조색5 107" xfId="2344"/>
    <cellStyle name="40% - 강조색5 108" xfId="2345"/>
    <cellStyle name="40% - 강조색5 109" xfId="2346"/>
    <cellStyle name="40% - 강조색5 11" xfId="2347"/>
    <cellStyle name="40% - 강조색5 11 2" xfId="2348"/>
    <cellStyle name="40% - 강조색5 11 3" xfId="2349"/>
    <cellStyle name="40% - 강조색5 11_Sheet1" xfId="2350"/>
    <cellStyle name="40% - 강조색5 110" xfId="2351"/>
    <cellStyle name="40% - 강조색5 111" xfId="2352"/>
    <cellStyle name="40% - 강조색5 12" xfId="2353"/>
    <cellStyle name="40% - 강조색5 12 2" xfId="2354"/>
    <cellStyle name="40% - 강조색5 12 3" xfId="2355"/>
    <cellStyle name="40% - 강조색5 12_Sheet1" xfId="2356"/>
    <cellStyle name="40% - 강조색5 13" xfId="2357"/>
    <cellStyle name="40% - 강조색5 13 2" xfId="2358"/>
    <cellStyle name="40% - 강조색5 13 3" xfId="2359"/>
    <cellStyle name="40% - 강조색5 13_Sheet1" xfId="2360"/>
    <cellStyle name="40% - 강조색5 14" xfId="2361"/>
    <cellStyle name="40% - 강조색5 14 2" xfId="2362"/>
    <cellStyle name="40% - 강조색5 14 3" xfId="2363"/>
    <cellStyle name="40% - 강조색5 14_Sheet1" xfId="2364"/>
    <cellStyle name="40% - 강조색5 15" xfId="2365"/>
    <cellStyle name="40% - 강조색5 15 2" xfId="2366"/>
    <cellStyle name="40% - 강조색5 15 3" xfId="2367"/>
    <cellStyle name="40% - 강조색5 15_Sheet1" xfId="2368"/>
    <cellStyle name="40% - 강조색5 16" xfId="2369"/>
    <cellStyle name="40% - 강조색5 16 2" xfId="2370"/>
    <cellStyle name="40% - 강조색5 16 3" xfId="2371"/>
    <cellStyle name="40% - 강조색5 16_Sheet1" xfId="2372"/>
    <cellStyle name="40% - 강조색5 17" xfId="2373"/>
    <cellStyle name="40% - 강조색5 17 2" xfId="2374"/>
    <cellStyle name="40% - 강조색5 17 3" xfId="2375"/>
    <cellStyle name="40% - 강조색5 17_Sheet1" xfId="2376"/>
    <cellStyle name="40% - 강조색5 18" xfId="2377"/>
    <cellStyle name="40% - 강조색5 18 2" xfId="2378"/>
    <cellStyle name="40% - 강조색5 18 3" xfId="2379"/>
    <cellStyle name="40% - 강조색5 18_Sheet1" xfId="2380"/>
    <cellStyle name="40% - 강조색5 19" xfId="2381"/>
    <cellStyle name="40% - 강조색5 19 2" xfId="2382"/>
    <cellStyle name="40% - 강조색5 19 3" xfId="2383"/>
    <cellStyle name="40% - 강조색5 19_Sheet1" xfId="2384"/>
    <cellStyle name="40% - 강조색5 2" xfId="2385"/>
    <cellStyle name="40% - 강조색5 20" xfId="2386"/>
    <cellStyle name="40% - 강조색5 20 2" xfId="2387"/>
    <cellStyle name="40% - 강조색5 20 3" xfId="2388"/>
    <cellStyle name="40% - 강조색5 20_Sheet1" xfId="2389"/>
    <cellStyle name="40% - 강조색5 21" xfId="2390"/>
    <cellStyle name="40% - 강조색5 21 2" xfId="2391"/>
    <cellStyle name="40% - 강조색5 21 3" xfId="2392"/>
    <cellStyle name="40% - 강조색5 21_Sheet1" xfId="2393"/>
    <cellStyle name="40% - 강조색5 22" xfId="2394"/>
    <cellStyle name="40% - 강조색5 22 2" xfId="2395"/>
    <cellStyle name="40% - 강조색5 22 3" xfId="2396"/>
    <cellStyle name="40% - 강조색5 22_Sheet1" xfId="2397"/>
    <cellStyle name="40% - 강조색5 23" xfId="2398"/>
    <cellStyle name="40% - 강조색5 23 2" xfId="2399"/>
    <cellStyle name="40% - 강조색5 23 3" xfId="2400"/>
    <cellStyle name="40% - 강조색5 23_Sheet1" xfId="2401"/>
    <cellStyle name="40% - 강조색5 24" xfId="2402"/>
    <cellStyle name="40% - 강조색5 24 2" xfId="2403"/>
    <cellStyle name="40% - 강조색5 24 3" xfId="2404"/>
    <cellStyle name="40% - 강조색5 24_Sheet1" xfId="2405"/>
    <cellStyle name="40% - 강조색5 25" xfId="2406"/>
    <cellStyle name="40% - 강조색5 25 2" xfId="2407"/>
    <cellStyle name="40% - 강조색5 25 3" xfId="2408"/>
    <cellStyle name="40% - 강조색5 25_Sheet1" xfId="2409"/>
    <cellStyle name="40% - 강조색5 26" xfId="2410"/>
    <cellStyle name="40% - 강조색5 26 2" xfId="2411"/>
    <cellStyle name="40% - 강조색5 26 3" xfId="2412"/>
    <cellStyle name="40% - 강조색5 26_Sheet1" xfId="2413"/>
    <cellStyle name="40% - 강조색5 27" xfId="2414"/>
    <cellStyle name="40% - 강조색5 27 2" xfId="2415"/>
    <cellStyle name="40% - 강조색5 27 3" xfId="2416"/>
    <cellStyle name="40% - 강조색5 27_Sheet1" xfId="2417"/>
    <cellStyle name="40% - 강조색5 28" xfId="2418"/>
    <cellStyle name="40% - 강조색5 28 2" xfId="2419"/>
    <cellStyle name="40% - 강조색5 28 3" xfId="2420"/>
    <cellStyle name="40% - 강조색5 28_Sheet1" xfId="2421"/>
    <cellStyle name="40% - 강조색5 29" xfId="2422"/>
    <cellStyle name="40% - 강조색5 29 2" xfId="2423"/>
    <cellStyle name="40% - 강조색5 29 3" xfId="2424"/>
    <cellStyle name="40% - 강조색5 29_Sheet1" xfId="2425"/>
    <cellStyle name="40% - 강조색5 3" xfId="2426"/>
    <cellStyle name="40% - 강조색5 30" xfId="2427"/>
    <cellStyle name="40% - 강조색5 30 2" xfId="2428"/>
    <cellStyle name="40% - 강조색5 30 3" xfId="2429"/>
    <cellStyle name="40% - 강조색5 30_Sheet1" xfId="2430"/>
    <cellStyle name="40% - 강조색5 31" xfId="2431"/>
    <cellStyle name="40% - 강조색5 31 2" xfId="2432"/>
    <cellStyle name="40% - 강조색5 31 3" xfId="2433"/>
    <cellStyle name="40% - 강조색5 31_Sheet1" xfId="2434"/>
    <cellStyle name="40% - 강조색5 32" xfId="2435"/>
    <cellStyle name="40% - 강조색5 32 2" xfId="2436"/>
    <cellStyle name="40% - 강조색5 32 3" xfId="2437"/>
    <cellStyle name="40% - 강조색5 32_Sheet1" xfId="2438"/>
    <cellStyle name="40% - 강조색5 33" xfId="2439"/>
    <cellStyle name="40% - 강조색5 33 2" xfId="2440"/>
    <cellStyle name="40% - 강조색5 33 3" xfId="2441"/>
    <cellStyle name="40% - 강조색5 33_Sheet1" xfId="2442"/>
    <cellStyle name="40% - 강조색5 34" xfId="2443"/>
    <cellStyle name="40% - 강조색5 34 2" xfId="2444"/>
    <cellStyle name="40% - 강조색5 34 3" xfId="2445"/>
    <cellStyle name="40% - 강조색5 34_Sheet1" xfId="2446"/>
    <cellStyle name="40% - 강조색5 35" xfId="2447"/>
    <cellStyle name="40% - 강조색5 35 2" xfId="2448"/>
    <cellStyle name="40% - 강조색5 35 3" xfId="2449"/>
    <cellStyle name="40% - 강조색5 35_Sheet1" xfId="2450"/>
    <cellStyle name="40% - 강조색5 36" xfId="2451"/>
    <cellStyle name="40% - 강조색5 36 2" xfId="2452"/>
    <cellStyle name="40% - 강조색5 36 3" xfId="2453"/>
    <cellStyle name="40% - 강조색5 36_Sheet1" xfId="2454"/>
    <cellStyle name="40% - 강조색5 37" xfId="2455"/>
    <cellStyle name="40% - 강조색5 37 2" xfId="2456"/>
    <cellStyle name="40% - 강조색5 37 3" xfId="2457"/>
    <cellStyle name="40% - 강조색5 37_Sheet1" xfId="2458"/>
    <cellStyle name="40% - 강조색5 38" xfId="2459"/>
    <cellStyle name="40% - 강조색5 38 2" xfId="2460"/>
    <cellStyle name="40% - 강조색5 38 3" xfId="2461"/>
    <cellStyle name="40% - 강조색5 38_Sheet1" xfId="2462"/>
    <cellStyle name="40% - 강조색5 39" xfId="2463"/>
    <cellStyle name="40% - 강조색5 39 2" xfId="2464"/>
    <cellStyle name="40% - 강조색5 39 3" xfId="2465"/>
    <cellStyle name="40% - 강조색5 39_Sheet1" xfId="2466"/>
    <cellStyle name="40% - 강조색5 4" xfId="2467"/>
    <cellStyle name="40% - 강조색5 40" xfId="2468"/>
    <cellStyle name="40% - 강조색5 40 2" xfId="2469"/>
    <cellStyle name="40% - 강조색5 40 3" xfId="2470"/>
    <cellStyle name="40% - 강조색5 40_Sheet1" xfId="2471"/>
    <cellStyle name="40% - 강조색5 41" xfId="2472"/>
    <cellStyle name="40% - 강조색5 41 2" xfId="2473"/>
    <cellStyle name="40% - 강조색5 41 3" xfId="2474"/>
    <cellStyle name="40% - 강조색5 41_Sheet1" xfId="2475"/>
    <cellStyle name="40% - 강조색5 42" xfId="2476"/>
    <cellStyle name="40% - 강조색5 42 2" xfId="2477"/>
    <cellStyle name="40% - 강조색5 42 3" xfId="2478"/>
    <cellStyle name="40% - 강조색5 42_Sheet1" xfId="2479"/>
    <cellStyle name="40% - 강조색5 43" xfId="2480"/>
    <cellStyle name="40% - 강조색5 43 2" xfId="2481"/>
    <cellStyle name="40% - 강조색5 43 3" xfId="2482"/>
    <cellStyle name="40% - 강조색5 43_Sheet1" xfId="2483"/>
    <cellStyle name="40% - 강조색5 44" xfId="2484"/>
    <cellStyle name="40% - 강조색5 44 2" xfId="2485"/>
    <cellStyle name="40% - 강조색5 44 3" xfId="2486"/>
    <cellStyle name="40% - 강조색5 44_Sheet1" xfId="2487"/>
    <cellStyle name="40% - 강조색5 45" xfId="2488"/>
    <cellStyle name="40% - 강조색5 45 2" xfId="2489"/>
    <cellStyle name="40% - 강조색5 45 3" xfId="2490"/>
    <cellStyle name="40% - 강조색5 45_Sheet1" xfId="2491"/>
    <cellStyle name="40% - 강조색5 46" xfId="2492"/>
    <cellStyle name="40% - 강조색5 47" xfId="2493"/>
    <cellStyle name="40% - 강조색5 48" xfId="2494"/>
    <cellStyle name="40% - 강조색5 49" xfId="2495"/>
    <cellStyle name="40% - 강조색5 5" xfId="2496"/>
    <cellStyle name="40% - 강조색5 5 2" xfId="2497"/>
    <cellStyle name="40% - 강조색5 5 3" xfId="2498"/>
    <cellStyle name="40% - 강조색5 5_Sheet1" xfId="2499"/>
    <cellStyle name="40% - 강조색5 50" xfId="2500"/>
    <cellStyle name="40% - 강조색5 51" xfId="2501"/>
    <cellStyle name="40% - 강조색5 52" xfId="2502"/>
    <cellStyle name="40% - 강조색5 53" xfId="2503"/>
    <cellStyle name="40% - 강조색5 54" xfId="2504"/>
    <cellStyle name="40% - 강조색5 55" xfId="2505"/>
    <cellStyle name="40% - 강조색5 56" xfId="2506"/>
    <cellStyle name="40% - 강조색5 57" xfId="2507"/>
    <cellStyle name="40% - 강조색5 58" xfId="2508"/>
    <cellStyle name="40% - 강조색5 59" xfId="2509"/>
    <cellStyle name="40% - 강조색5 6" xfId="2510"/>
    <cellStyle name="40% - 강조색5 6 2" xfId="2511"/>
    <cellStyle name="40% - 강조색5 6 3" xfId="2512"/>
    <cellStyle name="40% - 강조색5 6_Sheet1" xfId="2513"/>
    <cellStyle name="40% - 강조색5 60" xfId="2514"/>
    <cellStyle name="40% - 강조색5 61" xfId="2515"/>
    <cellStyle name="40% - 강조색5 62" xfId="2516"/>
    <cellStyle name="40% - 강조색5 63" xfId="2517"/>
    <cellStyle name="40% - 강조색5 64" xfId="2518"/>
    <cellStyle name="40% - 강조색5 65" xfId="2519"/>
    <cellStyle name="40% - 강조색5 66" xfId="2520"/>
    <cellStyle name="40% - 강조색5 67" xfId="2521"/>
    <cellStyle name="40% - 강조색5 68" xfId="2522"/>
    <cellStyle name="40% - 강조색5 69" xfId="2523"/>
    <cellStyle name="40% - 강조색5 7" xfId="2524"/>
    <cellStyle name="40% - 강조색5 7 2" xfId="2525"/>
    <cellStyle name="40% - 강조색5 7 3" xfId="2526"/>
    <cellStyle name="40% - 강조색5 7_Sheet1" xfId="2527"/>
    <cellStyle name="40% - 강조색5 70" xfId="2528"/>
    <cellStyle name="40% - 강조색5 71" xfId="2529"/>
    <cellStyle name="40% - 강조색5 72" xfId="2530"/>
    <cellStyle name="40% - 강조색5 73" xfId="2531"/>
    <cellStyle name="40% - 강조색5 74" xfId="2532"/>
    <cellStyle name="40% - 강조색5 75" xfId="2533"/>
    <cellStyle name="40% - 강조색5 76" xfId="2534"/>
    <cellStyle name="40% - 강조색5 77" xfId="2535"/>
    <cellStyle name="40% - 강조색5 78" xfId="2536"/>
    <cellStyle name="40% - 강조색5 79" xfId="2537"/>
    <cellStyle name="40% - 강조색5 8" xfId="2538"/>
    <cellStyle name="40% - 강조색5 8 2" xfId="2539"/>
    <cellStyle name="40% - 강조색5 8 3" xfId="2540"/>
    <cellStyle name="40% - 강조색5 8_Sheet1" xfId="2541"/>
    <cellStyle name="40% - 강조색5 80" xfId="2542"/>
    <cellStyle name="40% - 강조색5 81" xfId="2543"/>
    <cellStyle name="40% - 강조색5 82" xfId="2544"/>
    <cellStyle name="40% - 강조색5 83" xfId="2545"/>
    <cellStyle name="40% - 강조색5 84" xfId="2546"/>
    <cellStyle name="40% - 강조색5 85" xfId="2547"/>
    <cellStyle name="40% - 강조색5 86" xfId="2548"/>
    <cellStyle name="40% - 강조색5 87" xfId="2549"/>
    <cellStyle name="40% - 강조색5 88" xfId="2550"/>
    <cellStyle name="40% - 강조색5 89" xfId="2551"/>
    <cellStyle name="40% - 강조색5 9" xfId="2552"/>
    <cellStyle name="40% - 강조색5 9 2" xfId="2553"/>
    <cellStyle name="40% - 강조색5 9 3" xfId="2554"/>
    <cellStyle name="40% - 강조색5 9_Sheet1" xfId="2555"/>
    <cellStyle name="40% - 강조색5 90" xfId="2556"/>
    <cellStyle name="40% - 강조색5 91" xfId="2557"/>
    <cellStyle name="40% - 강조색5 92" xfId="2558"/>
    <cellStyle name="40% - 강조색5 93" xfId="2559"/>
    <cellStyle name="40% - 강조색5 94" xfId="2560"/>
    <cellStyle name="40% - 강조색5 95" xfId="2561"/>
    <cellStyle name="40% - 강조색5 96" xfId="2562"/>
    <cellStyle name="40% - 강조색5 97" xfId="2563"/>
    <cellStyle name="40% - 강조색5 98" xfId="2564"/>
    <cellStyle name="40% - 강조색5 99" xfId="2565"/>
    <cellStyle name="40% - 강조색6 10" xfId="2566"/>
    <cellStyle name="40% - 강조색6 10 2" xfId="2567"/>
    <cellStyle name="40% - 강조색6 10 3" xfId="2568"/>
    <cellStyle name="40% - 강조색6 10_Sheet1" xfId="2569"/>
    <cellStyle name="40% - 강조색6 100" xfId="2570"/>
    <cellStyle name="40% - 강조색6 101" xfId="2571"/>
    <cellStyle name="40% - 강조색6 102" xfId="2572"/>
    <cellStyle name="40% - 강조색6 103" xfId="2573"/>
    <cellStyle name="40% - 강조색6 104" xfId="2574"/>
    <cellStyle name="40% - 강조색6 105" xfId="2575"/>
    <cellStyle name="40% - 강조색6 106" xfId="2576"/>
    <cellStyle name="40% - 강조색6 107" xfId="2577"/>
    <cellStyle name="40% - 강조색6 108" xfId="2578"/>
    <cellStyle name="40% - 강조색6 109" xfId="2579"/>
    <cellStyle name="40% - 강조색6 11" xfId="2580"/>
    <cellStyle name="40% - 강조색6 11 2" xfId="2581"/>
    <cellStyle name="40% - 강조색6 11 3" xfId="2582"/>
    <cellStyle name="40% - 강조색6 11_Sheet1" xfId="2583"/>
    <cellStyle name="40% - 강조색6 110" xfId="2584"/>
    <cellStyle name="40% - 강조색6 111" xfId="2585"/>
    <cellStyle name="40% - 강조색6 12" xfId="2586"/>
    <cellStyle name="40% - 강조색6 12 2" xfId="2587"/>
    <cellStyle name="40% - 강조색6 12 3" xfId="2588"/>
    <cellStyle name="40% - 강조색6 12_Sheet1" xfId="2589"/>
    <cellStyle name="40% - 강조색6 13" xfId="2590"/>
    <cellStyle name="40% - 강조색6 13 2" xfId="2591"/>
    <cellStyle name="40% - 강조색6 13 3" xfId="2592"/>
    <cellStyle name="40% - 강조색6 13_Sheet1" xfId="2593"/>
    <cellStyle name="40% - 강조색6 14" xfId="2594"/>
    <cellStyle name="40% - 강조색6 14 2" xfId="2595"/>
    <cellStyle name="40% - 강조색6 14 3" xfId="2596"/>
    <cellStyle name="40% - 강조색6 14_Sheet1" xfId="2597"/>
    <cellStyle name="40% - 강조색6 15" xfId="2598"/>
    <cellStyle name="40% - 강조색6 15 2" xfId="2599"/>
    <cellStyle name="40% - 강조색6 15 3" xfId="2600"/>
    <cellStyle name="40% - 강조색6 15_Sheet1" xfId="2601"/>
    <cellStyle name="40% - 강조색6 16" xfId="2602"/>
    <cellStyle name="40% - 강조색6 16 2" xfId="2603"/>
    <cellStyle name="40% - 강조색6 16 3" xfId="2604"/>
    <cellStyle name="40% - 강조색6 16_Sheet1" xfId="2605"/>
    <cellStyle name="40% - 강조색6 17" xfId="2606"/>
    <cellStyle name="40% - 강조색6 17 2" xfId="2607"/>
    <cellStyle name="40% - 강조색6 17 3" xfId="2608"/>
    <cellStyle name="40% - 강조색6 17_Sheet1" xfId="2609"/>
    <cellStyle name="40% - 강조색6 18" xfId="2610"/>
    <cellStyle name="40% - 강조색6 18 2" xfId="2611"/>
    <cellStyle name="40% - 강조색6 18 3" xfId="2612"/>
    <cellStyle name="40% - 강조색6 18_Sheet1" xfId="2613"/>
    <cellStyle name="40% - 강조색6 19" xfId="2614"/>
    <cellStyle name="40% - 강조색6 19 2" xfId="2615"/>
    <cellStyle name="40% - 강조색6 19 3" xfId="2616"/>
    <cellStyle name="40% - 강조색6 19_Sheet1" xfId="2617"/>
    <cellStyle name="40% - 강조색6 2" xfId="2618"/>
    <cellStyle name="40% - 강조색6 20" xfId="2619"/>
    <cellStyle name="40% - 강조색6 20 2" xfId="2620"/>
    <cellStyle name="40% - 강조색6 20 3" xfId="2621"/>
    <cellStyle name="40% - 강조색6 20_Sheet1" xfId="2622"/>
    <cellStyle name="40% - 강조색6 21" xfId="2623"/>
    <cellStyle name="40% - 강조색6 21 2" xfId="2624"/>
    <cellStyle name="40% - 강조색6 21 3" xfId="2625"/>
    <cellStyle name="40% - 강조색6 21_Sheet1" xfId="2626"/>
    <cellStyle name="40% - 강조색6 22" xfId="2627"/>
    <cellStyle name="40% - 강조색6 22 2" xfId="2628"/>
    <cellStyle name="40% - 강조색6 22 3" xfId="2629"/>
    <cellStyle name="40% - 강조색6 22_Sheet1" xfId="2630"/>
    <cellStyle name="40% - 강조색6 23" xfId="2631"/>
    <cellStyle name="40% - 강조색6 23 2" xfId="2632"/>
    <cellStyle name="40% - 강조색6 23 3" xfId="2633"/>
    <cellStyle name="40% - 강조색6 23_Sheet1" xfId="2634"/>
    <cellStyle name="40% - 강조색6 24" xfId="2635"/>
    <cellStyle name="40% - 강조색6 24 2" xfId="2636"/>
    <cellStyle name="40% - 강조색6 24 3" xfId="2637"/>
    <cellStyle name="40% - 강조색6 24_Sheet1" xfId="2638"/>
    <cellStyle name="40% - 강조색6 25" xfId="2639"/>
    <cellStyle name="40% - 강조색6 25 2" xfId="2640"/>
    <cellStyle name="40% - 강조색6 25 3" xfId="2641"/>
    <cellStyle name="40% - 강조색6 25_Sheet1" xfId="2642"/>
    <cellStyle name="40% - 강조색6 26" xfId="2643"/>
    <cellStyle name="40% - 강조색6 26 2" xfId="2644"/>
    <cellStyle name="40% - 강조색6 26 3" xfId="2645"/>
    <cellStyle name="40% - 강조색6 26_Sheet1" xfId="2646"/>
    <cellStyle name="40% - 강조색6 27" xfId="2647"/>
    <cellStyle name="40% - 강조색6 27 2" xfId="2648"/>
    <cellStyle name="40% - 강조색6 27 3" xfId="2649"/>
    <cellStyle name="40% - 강조색6 27_Sheet1" xfId="2650"/>
    <cellStyle name="40% - 강조색6 28" xfId="2651"/>
    <cellStyle name="40% - 강조색6 28 2" xfId="2652"/>
    <cellStyle name="40% - 강조색6 28 3" xfId="2653"/>
    <cellStyle name="40% - 강조색6 28_Sheet1" xfId="2654"/>
    <cellStyle name="40% - 강조색6 29" xfId="2655"/>
    <cellStyle name="40% - 강조색6 29 2" xfId="2656"/>
    <cellStyle name="40% - 강조색6 29 3" xfId="2657"/>
    <cellStyle name="40% - 강조색6 29_Sheet1" xfId="2658"/>
    <cellStyle name="40% - 강조색6 3" xfId="2659"/>
    <cellStyle name="40% - 강조색6 30" xfId="2660"/>
    <cellStyle name="40% - 강조색6 30 2" xfId="2661"/>
    <cellStyle name="40% - 강조색6 30 3" xfId="2662"/>
    <cellStyle name="40% - 강조색6 30_Sheet1" xfId="2663"/>
    <cellStyle name="40% - 강조색6 31" xfId="2664"/>
    <cellStyle name="40% - 강조색6 31 2" xfId="2665"/>
    <cellStyle name="40% - 강조색6 31 3" xfId="2666"/>
    <cellStyle name="40% - 강조색6 31_Sheet1" xfId="2667"/>
    <cellStyle name="40% - 강조색6 32" xfId="2668"/>
    <cellStyle name="40% - 강조색6 32 2" xfId="2669"/>
    <cellStyle name="40% - 강조색6 32 3" xfId="2670"/>
    <cellStyle name="40% - 강조색6 32_Sheet1" xfId="2671"/>
    <cellStyle name="40% - 강조색6 33" xfId="2672"/>
    <cellStyle name="40% - 강조색6 33 2" xfId="2673"/>
    <cellStyle name="40% - 강조색6 33 3" xfId="2674"/>
    <cellStyle name="40% - 강조색6 33_Sheet1" xfId="2675"/>
    <cellStyle name="40% - 강조색6 34" xfId="2676"/>
    <cellStyle name="40% - 강조색6 34 2" xfId="2677"/>
    <cellStyle name="40% - 강조색6 34 3" xfId="2678"/>
    <cellStyle name="40% - 강조색6 34_Sheet1" xfId="2679"/>
    <cellStyle name="40% - 강조색6 35" xfId="2680"/>
    <cellStyle name="40% - 강조색6 35 2" xfId="2681"/>
    <cellStyle name="40% - 강조색6 35 3" xfId="2682"/>
    <cellStyle name="40% - 강조색6 35_Sheet1" xfId="2683"/>
    <cellStyle name="40% - 강조색6 36" xfId="2684"/>
    <cellStyle name="40% - 강조색6 36 2" xfId="2685"/>
    <cellStyle name="40% - 강조색6 36 3" xfId="2686"/>
    <cellStyle name="40% - 강조색6 36_Sheet1" xfId="2687"/>
    <cellStyle name="40% - 강조색6 37" xfId="2688"/>
    <cellStyle name="40% - 강조색6 37 2" xfId="2689"/>
    <cellStyle name="40% - 강조색6 37 3" xfId="2690"/>
    <cellStyle name="40% - 강조색6 37_Sheet1" xfId="2691"/>
    <cellStyle name="40% - 강조색6 38" xfId="2692"/>
    <cellStyle name="40% - 강조색6 38 2" xfId="2693"/>
    <cellStyle name="40% - 강조색6 38 3" xfId="2694"/>
    <cellStyle name="40% - 강조색6 38_Sheet1" xfId="2695"/>
    <cellStyle name="40% - 강조색6 39" xfId="2696"/>
    <cellStyle name="40% - 강조색6 39 2" xfId="2697"/>
    <cellStyle name="40% - 강조색6 39 3" xfId="2698"/>
    <cellStyle name="40% - 강조색6 39_Sheet1" xfId="2699"/>
    <cellStyle name="40% - 강조색6 4" xfId="2700"/>
    <cellStyle name="40% - 강조색6 40" xfId="2701"/>
    <cellStyle name="40% - 강조색6 40 2" xfId="2702"/>
    <cellStyle name="40% - 강조색6 40 3" xfId="2703"/>
    <cellStyle name="40% - 강조색6 40_Sheet1" xfId="2704"/>
    <cellStyle name="40% - 강조색6 41" xfId="2705"/>
    <cellStyle name="40% - 강조색6 41 2" xfId="2706"/>
    <cellStyle name="40% - 강조색6 41 3" xfId="2707"/>
    <cellStyle name="40% - 강조색6 41_Sheet1" xfId="2708"/>
    <cellStyle name="40% - 강조색6 42" xfId="2709"/>
    <cellStyle name="40% - 강조색6 42 2" xfId="2710"/>
    <cellStyle name="40% - 강조색6 42 3" xfId="2711"/>
    <cellStyle name="40% - 강조색6 42_Sheet1" xfId="2712"/>
    <cellStyle name="40% - 강조색6 43" xfId="2713"/>
    <cellStyle name="40% - 강조색6 43 2" xfId="2714"/>
    <cellStyle name="40% - 강조색6 43 3" xfId="2715"/>
    <cellStyle name="40% - 강조색6 43_Sheet1" xfId="2716"/>
    <cellStyle name="40% - 강조색6 44" xfId="2717"/>
    <cellStyle name="40% - 강조색6 44 2" xfId="2718"/>
    <cellStyle name="40% - 강조색6 44 3" xfId="2719"/>
    <cellStyle name="40% - 강조색6 44_Sheet1" xfId="2720"/>
    <cellStyle name="40% - 강조색6 45" xfId="2721"/>
    <cellStyle name="40% - 강조색6 45 2" xfId="2722"/>
    <cellStyle name="40% - 강조색6 45 3" xfId="2723"/>
    <cellStyle name="40% - 강조색6 45_Sheet1" xfId="2724"/>
    <cellStyle name="40% - 강조색6 46" xfId="2725"/>
    <cellStyle name="40% - 강조색6 47" xfId="2726"/>
    <cellStyle name="40% - 강조색6 48" xfId="2727"/>
    <cellStyle name="40% - 강조색6 49" xfId="2728"/>
    <cellStyle name="40% - 강조색6 5" xfId="2729"/>
    <cellStyle name="40% - 강조색6 5 2" xfId="2730"/>
    <cellStyle name="40% - 강조색6 5 3" xfId="2731"/>
    <cellStyle name="40% - 강조색6 5_Sheet1" xfId="2732"/>
    <cellStyle name="40% - 강조색6 50" xfId="2733"/>
    <cellStyle name="40% - 강조색6 51" xfId="2734"/>
    <cellStyle name="40% - 강조색6 52" xfId="2735"/>
    <cellStyle name="40% - 강조색6 53" xfId="2736"/>
    <cellStyle name="40% - 강조색6 54" xfId="2737"/>
    <cellStyle name="40% - 강조색6 55" xfId="2738"/>
    <cellStyle name="40% - 강조색6 56" xfId="2739"/>
    <cellStyle name="40% - 강조색6 57" xfId="2740"/>
    <cellStyle name="40% - 강조색6 58" xfId="2741"/>
    <cellStyle name="40% - 강조색6 59" xfId="2742"/>
    <cellStyle name="40% - 강조색6 6" xfId="2743"/>
    <cellStyle name="40% - 강조색6 6 2" xfId="2744"/>
    <cellStyle name="40% - 강조색6 6 3" xfId="2745"/>
    <cellStyle name="40% - 강조색6 6_Sheet1" xfId="2746"/>
    <cellStyle name="40% - 강조색6 60" xfId="2747"/>
    <cellStyle name="40% - 강조색6 61" xfId="2748"/>
    <cellStyle name="40% - 강조색6 62" xfId="2749"/>
    <cellStyle name="40% - 강조색6 63" xfId="2750"/>
    <cellStyle name="40% - 강조색6 64" xfId="2751"/>
    <cellStyle name="40% - 강조색6 65" xfId="2752"/>
    <cellStyle name="40% - 강조색6 66" xfId="2753"/>
    <cellStyle name="40% - 강조색6 67" xfId="2754"/>
    <cellStyle name="40% - 강조색6 68" xfId="2755"/>
    <cellStyle name="40% - 강조색6 69" xfId="2756"/>
    <cellStyle name="40% - 강조색6 7" xfId="2757"/>
    <cellStyle name="40% - 강조색6 7 2" xfId="2758"/>
    <cellStyle name="40% - 강조색6 7 3" xfId="2759"/>
    <cellStyle name="40% - 강조색6 7_Sheet1" xfId="2760"/>
    <cellStyle name="40% - 강조색6 70" xfId="2761"/>
    <cellStyle name="40% - 강조색6 71" xfId="2762"/>
    <cellStyle name="40% - 강조색6 72" xfId="2763"/>
    <cellStyle name="40% - 강조색6 73" xfId="2764"/>
    <cellStyle name="40% - 강조색6 74" xfId="2765"/>
    <cellStyle name="40% - 강조색6 75" xfId="2766"/>
    <cellStyle name="40% - 강조색6 76" xfId="2767"/>
    <cellStyle name="40% - 강조색6 77" xfId="2768"/>
    <cellStyle name="40% - 강조색6 78" xfId="2769"/>
    <cellStyle name="40% - 강조색6 79" xfId="2770"/>
    <cellStyle name="40% - 강조색6 8" xfId="2771"/>
    <cellStyle name="40% - 강조색6 8 2" xfId="2772"/>
    <cellStyle name="40% - 강조색6 8 3" xfId="2773"/>
    <cellStyle name="40% - 강조색6 8_Sheet1" xfId="2774"/>
    <cellStyle name="40% - 강조색6 80" xfId="2775"/>
    <cellStyle name="40% - 강조색6 81" xfId="2776"/>
    <cellStyle name="40% - 강조색6 82" xfId="2777"/>
    <cellStyle name="40% - 강조색6 83" xfId="2778"/>
    <cellStyle name="40% - 강조색6 84" xfId="2779"/>
    <cellStyle name="40% - 강조색6 85" xfId="2780"/>
    <cellStyle name="40% - 강조색6 86" xfId="2781"/>
    <cellStyle name="40% - 강조색6 87" xfId="2782"/>
    <cellStyle name="40% - 강조색6 88" xfId="2783"/>
    <cellStyle name="40% - 강조색6 89" xfId="2784"/>
    <cellStyle name="40% - 강조색6 9" xfId="2785"/>
    <cellStyle name="40% - 강조색6 9 2" xfId="2786"/>
    <cellStyle name="40% - 강조색6 9 3" xfId="2787"/>
    <cellStyle name="40% - 강조색6 9_Sheet1" xfId="2788"/>
    <cellStyle name="40% - 강조색6 90" xfId="2789"/>
    <cellStyle name="40% - 강조색6 91" xfId="2790"/>
    <cellStyle name="40% - 강조색6 92" xfId="2791"/>
    <cellStyle name="40% - 강조색6 93" xfId="2792"/>
    <cellStyle name="40% - 강조색6 94" xfId="2793"/>
    <cellStyle name="40% - 강조색6 95" xfId="2794"/>
    <cellStyle name="40% - 강조색6 96" xfId="2795"/>
    <cellStyle name="40% - 강조색6 97" xfId="2796"/>
    <cellStyle name="40% - 강조색6 98" xfId="2797"/>
    <cellStyle name="40% - 강조색6 99" xfId="2798"/>
    <cellStyle name="60% - 강조색1 2" xfId="2799"/>
    <cellStyle name="60% - 강조색1 3" xfId="2800"/>
    <cellStyle name="60% - 강조색1 4" xfId="2801"/>
    <cellStyle name="60% - 강조색2 2" xfId="2802"/>
    <cellStyle name="60% - 강조색2 3" xfId="2803"/>
    <cellStyle name="60% - 강조색2 4" xfId="2804"/>
    <cellStyle name="60% - 강조색3 2" xfId="2805"/>
    <cellStyle name="60% - 강조색3 3" xfId="2806"/>
    <cellStyle name="60% - 강조색3 4" xfId="2807"/>
    <cellStyle name="60% - 강조색4 2" xfId="2808"/>
    <cellStyle name="60% - 강조색4 3" xfId="2809"/>
    <cellStyle name="60% - 강조색4 4" xfId="2810"/>
    <cellStyle name="60% - 강조색5 2" xfId="2811"/>
    <cellStyle name="60% - 강조색5 3" xfId="2812"/>
    <cellStyle name="60% - 강조색5 4" xfId="2813"/>
    <cellStyle name="60% - 강조색6 2" xfId="2814"/>
    <cellStyle name="60% - 강조색6 3" xfId="2815"/>
    <cellStyle name="60% - 강조색6 4" xfId="2816"/>
    <cellStyle name="강조색1 2" xfId="2817"/>
    <cellStyle name="강조색1 3" xfId="2818"/>
    <cellStyle name="강조색1 4" xfId="2819"/>
    <cellStyle name="강조색2 2" xfId="2820"/>
    <cellStyle name="강조색2 3" xfId="2821"/>
    <cellStyle name="강조색2 4" xfId="2822"/>
    <cellStyle name="강조색3 2" xfId="2823"/>
    <cellStyle name="강조색3 3" xfId="2824"/>
    <cellStyle name="강조색3 4" xfId="2825"/>
    <cellStyle name="강조색4 2" xfId="2826"/>
    <cellStyle name="강조색4 3" xfId="2827"/>
    <cellStyle name="강조색4 4" xfId="2828"/>
    <cellStyle name="강조색5 2" xfId="2829"/>
    <cellStyle name="강조색5 3" xfId="2830"/>
    <cellStyle name="강조색5 4" xfId="2831"/>
    <cellStyle name="강조색6 2" xfId="2832"/>
    <cellStyle name="강조색6 3" xfId="2833"/>
    <cellStyle name="강조색6 4" xfId="2834"/>
    <cellStyle name="경고문 2" xfId="2835"/>
    <cellStyle name="경고문 3" xfId="2836"/>
    <cellStyle name="경고문 4" xfId="2837"/>
    <cellStyle name="계산 2" xfId="2838"/>
    <cellStyle name="계산 3" xfId="2839"/>
    <cellStyle name="계산 4" xfId="2840"/>
    <cellStyle name="나쁨 2" xfId="2841"/>
    <cellStyle name="나쁨 3" xfId="2842"/>
    <cellStyle name="나쁨 4" xfId="2843"/>
    <cellStyle name="메모 10" xfId="2844"/>
    <cellStyle name="메모 10 2" xfId="2845"/>
    <cellStyle name="메모 10 3" xfId="2846"/>
    <cellStyle name="메모 100" xfId="2847"/>
    <cellStyle name="메모 101" xfId="2848"/>
    <cellStyle name="메모 102" xfId="2849"/>
    <cellStyle name="메모 103" xfId="2850"/>
    <cellStyle name="메모 104" xfId="2851"/>
    <cellStyle name="메모 105" xfId="2852"/>
    <cellStyle name="메모 106" xfId="2853"/>
    <cellStyle name="메모 107" xfId="2854"/>
    <cellStyle name="메모 108" xfId="2855"/>
    <cellStyle name="메모 109" xfId="2856"/>
    <cellStyle name="메모 11" xfId="2857"/>
    <cellStyle name="메모 11 2" xfId="2858"/>
    <cellStyle name="메모 11 3" xfId="2859"/>
    <cellStyle name="메모 110" xfId="2860"/>
    <cellStyle name="메모 12" xfId="2861"/>
    <cellStyle name="메모 12 2" xfId="2862"/>
    <cellStyle name="메모 12 3" xfId="2863"/>
    <cellStyle name="메모 13" xfId="2864"/>
    <cellStyle name="메모 13 2" xfId="2865"/>
    <cellStyle name="메모 13 3" xfId="2866"/>
    <cellStyle name="메모 14" xfId="2867"/>
    <cellStyle name="메모 14 2" xfId="2868"/>
    <cellStyle name="메모 14 3" xfId="2869"/>
    <cellStyle name="메모 15" xfId="2870"/>
    <cellStyle name="메모 15 2" xfId="2871"/>
    <cellStyle name="메모 15 3" xfId="2872"/>
    <cellStyle name="메모 16" xfId="2873"/>
    <cellStyle name="메모 16 2" xfId="2874"/>
    <cellStyle name="메모 16 3" xfId="2875"/>
    <cellStyle name="메모 17" xfId="2876"/>
    <cellStyle name="메모 17 2" xfId="2877"/>
    <cellStyle name="메모 17 3" xfId="2878"/>
    <cellStyle name="메모 18" xfId="2879"/>
    <cellStyle name="메모 18 2" xfId="2880"/>
    <cellStyle name="메모 18 3" xfId="2881"/>
    <cellStyle name="메모 19" xfId="2882"/>
    <cellStyle name="메모 19 2" xfId="2883"/>
    <cellStyle name="메모 19 3" xfId="2884"/>
    <cellStyle name="메모 2" xfId="2885"/>
    <cellStyle name="메모 20" xfId="2886"/>
    <cellStyle name="메모 20 2" xfId="2887"/>
    <cellStyle name="메모 20 3" xfId="2888"/>
    <cellStyle name="메모 21" xfId="2889"/>
    <cellStyle name="메모 21 2" xfId="2890"/>
    <cellStyle name="메모 21 3" xfId="2891"/>
    <cellStyle name="메모 22" xfId="2892"/>
    <cellStyle name="메모 22 2" xfId="2893"/>
    <cellStyle name="메모 22 3" xfId="2894"/>
    <cellStyle name="메모 23" xfId="2895"/>
    <cellStyle name="메모 23 2" xfId="2896"/>
    <cellStyle name="메모 23 3" xfId="2897"/>
    <cellStyle name="메모 24" xfId="2898"/>
    <cellStyle name="메모 24 2" xfId="2899"/>
    <cellStyle name="메모 24 3" xfId="2900"/>
    <cellStyle name="메모 25" xfId="2901"/>
    <cellStyle name="메모 25 2" xfId="2902"/>
    <cellStyle name="메모 25 3" xfId="2903"/>
    <cellStyle name="메모 26" xfId="2904"/>
    <cellStyle name="메모 26 2" xfId="2905"/>
    <cellStyle name="메모 26 3" xfId="2906"/>
    <cellStyle name="메모 27" xfId="2907"/>
    <cellStyle name="메모 27 2" xfId="2908"/>
    <cellStyle name="메모 27 3" xfId="2909"/>
    <cellStyle name="메모 28" xfId="2910"/>
    <cellStyle name="메모 28 2" xfId="2911"/>
    <cellStyle name="메모 28 3" xfId="2912"/>
    <cellStyle name="메모 29" xfId="2913"/>
    <cellStyle name="메모 29 2" xfId="2914"/>
    <cellStyle name="메모 29 3" xfId="2915"/>
    <cellStyle name="메모 3" xfId="2916"/>
    <cellStyle name="메모 30" xfId="2917"/>
    <cellStyle name="메모 30 2" xfId="2918"/>
    <cellStyle name="메모 30 3" xfId="2919"/>
    <cellStyle name="메모 31" xfId="2920"/>
    <cellStyle name="메모 31 2" xfId="2921"/>
    <cellStyle name="메모 31 3" xfId="2922"/>
    <cellStyle name="메모 32" xfId="2923"/>
    <cellStyle name="메모 32 2" xfId="2924"/>
    <cellStyle name="메모 32 3" xfId="2925"/>
    <cellStyle name="메모 33" xfId="2926"/>
    <cellStyle name="메모 33 2" xfId="2927"/>
    <cellStyle name="메모 33 3" xfId="2928"/>
    <cellStyle name="메모 34" xfId="2929"/>
    <cellStyle name="메모 34 2" xfId="2930"/>
    <cellStyle name="메모 34 3" xfId="2931"/>
    <cellStyle name="메모 35" xfId="2932"/>
    <cellStyle name="메모 35 2" xfId="2933"/>
    <cellStyle name="메모 35 3" xfId="2934"/>
    <cellStyle name="메모 36" xfId="2935"/>
    <cellStyle name="메모 36 2" xfId="2936"/>
    <cellStyle name="메모 36 3" xfId="2937"/>
    <cellStyle name="메모 37" xfId="2938"/>
    <cellStyle name="메모 37 2" xfId="2939"/>
    <cellStyle name="메모 37 3" xfId="2940"/>
    <cellStyle name="메모 38" xfId="2941"/>
    <cellStyle name="메모 38 2" xfId="2942"/>
    <cellStyle name="메모 38 3" xfId="2943"/>
    <cellStyle name="메모 39" xfId="2944"/>
    <cellStyle name="메모 39 2" xfId="2945"/>
    <cellStyle name="메모 39 3" xfId="2946"/>
    <cellStyle name="메모 4" xfId="2947"/>
    <cellStyle name="메모 40" xfId="2948"/>
    <cellStyle name="메모 40 2" xfId="2949"/>
    <cellStyle name="메모 40 3" xfId="2950"/>
    <cellStyle name="메모 41" xfId="2951"/>
    <cellStyle name="메모 41 2" xfId="2952"/>
    <cellStyle name="메모 41 3" xfId="2953"/>
    <cellStyle name="메모 42" xfId="2954"/>
    <cellStyle name="메모 42 2" xfId="2955"/>
    <cellStyle name="메모 42 3" xfId="2956"/>
    <cellStyle name="메모 43" xfId="2957"/>
    <cellStyle name="메모 43 2" xfId="2958"/>
    <cellStyle name="메모 43 3" xfId="2959"/>
    <cellStyle name="메모 44" xfId="2960"/>
    <cellStyle name="메모 44 2" xfId="2961"/>
    <cellStyle name="메모 44 3" xfId="2962"/>
    <cellStyle name="메모 45" xfId="2963"/>
    <cellStyle name="메모 45 2" xfId="2964"/>
    <cellStyle name="메모 45 3" xfId="2965"/>
    <cellStyle name="메모 46" xfId="2966"/>
    <cellStyle name="메모 46 2" xfId="2967"/>
    <cellStyle name="메모 46 3" xfId="2968"/>
    <cellStyle name="메모 47" xfId="2969"/>
    <cellStyle name="메모 48" xfId="2970"/>
    <cellStyle name="메모 49" xfId="2971"/>
    <cellStyle name="메모 5" xfId="2972"/>
    <cellStyle name="메모 5 2" xfId="2973"/>
    <cellStyle name="메모 5 3" xfId="2974"/>
    <cellStyle name="메모 50" xfId="2975"/>
    <cellStyle name="메모 51" xfId="2976"/>
    <cellStyle name="메모 52" xfId="2977"/>
    <cellStyle name="메모 53" xfId="2978"/>
    <cellStyle name="메모 54" xfId="2979"/>
    <cellStyle name="메모 55" xfId="2980"/>
    <cellStyle name="메모 56" xfId="2981"/>
    <cellStyle name="메모 57" xfId="2982"/>
    <cellStyle name="메모 58" xfId="2983"/>
    <cellStyle name="메모 59" xfId="2984"/>
    <cellStyle name="메모 6" xfId="2985"/>
    <cellStyle name="메모 6 2" xfId="2986"/>
    <cellStyle name="메모 6 3" xfId="2987"/>
    <cellStyle name="메모 60" xfId="2988"/>
    <cellStyle name="메모 61" xfId="2989"/>
    <cellStyle name="메모 62" xfId="2990"/>
    <cellStyle name="메모 63" xfId="2991"/>
    <cellStyle name="메모 64" xfId="2992"/>
    <cellStyle name="메모 65" xfId="2993"/>
    <cellStyle name="메모 66" xfId="2994"/>
    <cellStyle name="메모 67" xfId="2995"/>
    <cellStyle name="메모 68" xfId="2996"/>
    <cellStyle name="메모 69" xfId="2997"/>
    <cellStyle name="메모 7" xfId="2998"/>
    <cellStyle name="메모 7 2" xfId="2999"/>
    <cellStyle name="메모 7 3" xfId="3000"/>
    <cellStyle name="메모 70" xfId="3001"/>
    <cellStyle name="메모 71" xfId="3002"/>
    <cellStyle name="메모 72" xfId="3003"/>
    <cellStyle name="메모 73" xfId="3004"/>
    <cellStyle name="메모 74" xfId="3005"/>
    <cellStyle name="메모 75" xfId="3006"/>
    <cellStyle name="메모 76" xfId="3007"/>
    <cellStyle name="메모 77" xfId="3008"/>
    <cellStyle name="메모 78" xfId="3009"/>
    <cellStyle name="메모 79" xfId="3010"/>
    <cellStyle name="메모 8" xfId="3011"/>
    <cellStyle name="메모 8 2" xfId="3012"/>
    <cellStyle name="메모 8 3" xfId="3013"/>
    <cellStyle name="메모 80" xfId="3014"/>
    <cellStyle name="메모 81" xfId="3015"/>
    <cellStyle name="메모 82" xfId="3016"/>
    <cellStyle name="메모 83" xfId="3017"/>
    <cellStyle name="메모 84" xfId="3018"/>
    <cellStyle name="메모 85" xfId="3019"/>
    <cellStyle name="메모 86" xfId="3020"/>
    <cellStyle name="메모 87" xfId="3021"/>
    <cellStyle name="메모 88" xfId="3022"/>
    <cellStyle name="메모 89" xfId="3023"/>
    <cellStyle name="메모 9" xfId="3024"/>
    <cellStyle name="메모 9 2" xfId="3025"/>
    <cellStyle name="메모 9 3" xfId="3026"/>
    <cellStyle name="메모 90" xfId="3027"/>
    <cellStyle name="메모 91" xfId="3028"/>
    <cellStyle name="메모 92" xfId="3029"/>
    <cellStyle name="메모 93" xfId="3030"/>
    <cellStyle name="메모 94" xfId="3031"/>
    <cellStyle name="메모 95" xfId="3032"/>
    <cellStyle name="메모 96" xfId="3033"/>
    <cellStyle name="메모 97" xfId="3034"/>
    <cellStyle name="메모 98" xfId="3035"/>
    <cellStyle name="메모 99" xfId="3036"/>
    <cellStyle name="보통 2" xfId="3037"/>
    <cellStyle name="보통 3" xfId="3038"/>
    <cellStyle name="보통 4" xfId="3039"/>
    <cellStyle name="설명 텍스트 2" xfId="3040"/>
    <cellStyle name="설명 텍스트 3" xfId="3041"/>
    <cellStyle name="설명 텍스트 4" xfId="3042"/>
    <cellStyle name="셀 확인 2" xfId="3043"/>
    <cellStyle name="셀 확인 3" xfId="3044"/>
    <cellStyle name="셀 확인 4" xfId="3045"/>
    <cellStyle name="쉼표 [0]" xfId="1" builtinId="6"/>
    <cellStyle name="연결된 셀 2" xfId="3046"/>
    <cellStyle name="연결된 셀 3" xfId="3047"/>
    <cellStyle name="연결된 셀 4" xfId="3048"/>
    <cellStyle name="요약 2" xfId="3049"/>
    <cellStyle name="요약 3" xfId="3050"/>
    <cellStyle name="요약 4" xfId="3051"/>
    <cellStyle name="입력 2" xfId="3052"/>
    <cellStyle name="입력 3" xfId="3053"/>
    <cellStyle name="입력 4" xfId="3054"/>
    <cellStyle name="제목 1 2" xfId="3055"/>
    <cellStyle name="제목 1 3" xfId="3056"/>
    <cellStyle name="제목 1 4" xfId="3057"/>
    <cellStyle name="제목 2 2" xfId="3058"/>
    <cellStyle name="제목 2 3" xfId="3059"/>
    <cellStyle name="제목 2 4" xfId="3060"/>
    <cellStyle name="제목 3 2" xfId="3061"/>
    <cellStyle name="제목 3 3" xfId="3062"/>
    <cellStyle name="제목 3 4" xfId="3063"/>
    <cellStyle name="제목 4 2" xfId="3064"/>
    <cellStyle name="제목 4 3" xfId="3065"/>
    <cellStyle name="제목 4 4" xfId="3066"/>
    <cellStyle name="제목 5" xfId="3067"/>
    <cellStyle name="제목 6" xfId="3068"/>
    <cellStyle name="제목 7" xfId="3069"/>
    <cellStyle name="좋음 2" xfId="3070"/>
    <cellStyle name="좋음 3" xfId="3071"/>
    <cellStyle name="좋음 4" xfId="3072"/>
    <cellStyle name="출력 2" xfId="3073"/>
    <cellStyle name="출력 3" xfId="3074"/>
    <cellStyle name="출력 4" xfId="3075"/>
    <cellStyle name="표준" xfId="0" builtinId="0"/>
    <cellStyle name="표준 10" xfId="3076"/>
    <cellStyle name="표준 100" xfId="3077"/>
    <cellStyle name="표준 101" xfId="3078"/>
    <cellStyle name="표준 102" xfId="3079"/>
    <cellStyle name="표준 103" xfId="3080"/>
    <cellStyle name="표준 104" xfId="3081"/>
    <cellStyle name="표준 105" xfId="3082"/>
    <cellStyle name="표준 106" xfId="3083"/>
    <cellStyle name="표준 107" xfId="3084"/>
    <cellStyle name="표준 108" xfId="3085"/>
    <cellStyle name="표준 109" xfId="3086"/>
    <cellStyle name="표준 11" xfId="3087"/>
    <cellStyle name="표준 110" xfId="3088"/>
    <cellStyle name="표준 111" xfId="3089"/>
    <cellStyle name="표준 12" xfId="3090"/>
    <cellStyle name="표준 13" xfId="3091"/>
    <cellStyle name="표준 14" xfId="3092"/>
    <cellStyle name="표준 15" xfId="3093"/>
    <cellStyle name="표준 16" xfId="3094"/>
    <cellStyle name="표준 17" xfId="3095"/>
    <cellStyle name="표준 18" xfId="3096"/>
    <cellStyle name="표준 19" xfId="3097"/>
    <cellStyle name="표준 2" xfId="3186"/>
    <cellStyle name="표준 2 2" xfId="3098"/>
    <cellStyle name="표준 20" xfId="3099"/>
    <cellStyle name="표준 21" xfId="3100"/>
    <cellStyle name="표준 22" xfId="3101"/>
    <cellStyle name="표준 23" xfId="3102"/>
    <cellStyle name="표준 24" xfId="3103"/>
    <cellStyle name="표준 25" xfId="3104"/>
    <cellStyle name="표준 26" xfId="3105"/>
    <cellStyle name="표준 27" xfId="3106"/>
    <cellStyle name="표준 28" xfId="3107"/>
    <cellStyle name="표준 29" xfId="3108"/>
    <cellStyle name="표준 3" xfId="3109"/>
    <cellStyle name="표준 30" xfId="3110"/>
    <cellStyle name="표준 31" xfId="3111"/>
    <cellStyle name="표준 32" xfId="3112"/>
    <cellStyle name="표준 33" xfId="3113"/>
    <cellStyle name="표준 34" xfId="3114"/>
    <cellStyle name="표준 35" xfId="3115"/>
    <cellStyle name="표준 36" xfId="3116"/>
    <cellStyle name="표준 37" xfId="3117"/>
    <cellStyle name="표준 38" xfId="3118"/>
    <cellStyle name="표준 39" xfId="3119"/>
    <cellStyle name="표준 4" xfId="3120"/>
    <cellStyle name="표준 40" xfId="3121"/>
    <cellStyle name="표준 41" xfId="3122"/>
    <cellStyle name="표준 42" xfId="3123"/>
    <cellStyle name="표준 43" xfId="3124"/>
    <cellStyle name="표준 44" xfId="3125"/>
    <cellStyle name="표준 45" xfId="3126"/>
    <cellStyle name="표준 46" xfId="3127"/>
    <cellStyle name="표준 47" xfId="3128"/>
    <cellStyle name="표준 48" xfId="3129"/>
    <cellStyle name="표준 49" xfId="3130"/>
    <cellStyle name="표준 5" xfId="3131"/>
    <cellStyle name="표준 50" xfId="3132"/>
    <cellStyle name="표준 51" xfId="3133"/>
    <cellStyle name="표준 52" xfId="3134"/>
    <cellStyle name="표준 53" xfId="3135"/>
    <cellStyle name="표준 54" xfId="3136"/>
    <cellStyle name="표준 55" xfId="3137"/>
    <cellStyle name="표준 56" xfId="3138"/>
    <cellStyle name="표준 57" xfId="3139"/>
    <cellStyle name="표준 58" xfId="3140"/>
    <cellStyle name="표준 59" xfId="3141"/>
    <cellStyle name="표준 6" xfId="3142"/>
    <cellStyle name="표준 60" xfId="3143"/>
    <cellStyle name="표준 61" xfId="3144"/>
    <cellStyle name="표준 62" xfId="3145"/>
    <cellStyle name="표준 63" xfId="3146"/>
    <cellStyle name="표준 64" xfId="3147"/>
    <cellStyle name="표준 65" xfId="3148"/>
    <cellStyle name="표준 66" xfId="3149"/>
    <cellStyle name="표준 67" xfId="3150"/>
    <cellStyle name="표준 68" xfId="3151"/>
    <cellStyle name="표준 69" xfId="3152"/>
    <cellStyle name="표준 7" xfId="3153"/>
    <cellStyle name="표준 70" xfId="3154"/>
    <cellStyle name="표준 71" xfId="3155"/>
    <cellStyle name="표준 72" xfId="3156"/>
    <cellStyle name="표준 73" xfId="3157"/>
    <cellStyle name="표준 74" xfId="3158"/>
    <cellStyle name="표준 75" xfId="3159"/>
    <cellStyle name="표준 76" xfId="3160"/>
    <cellStyle name="표준 77" xfId="3161"/>
    <cellStyle name="표준 78" xfId="3162"/>
    <cellStyle name="표준 79" xfId="3163"/>
    <cellStyle name="표준 8" xfId="3164"/>
    <cellStyle name="표준 80" xfId="3165"/>
    <cellStyle name="표준 81" xfId="3166"/>
    <cellStyle name="표준 82" xfId="3167"/>
    <cellStyle name="표준 83" xfId="3168"/>
    <cellStyle name="표준 84" xfId="3169"/>
    <cellStyle name="표준 85" xfId="3170"/>
    <cellStyle name="표준 86" xfId="3171"/>
    <cellStyle name="표준 87" xfId="3172"/>
    <cellStyle name="표준 88" xfId="3173"/>
    <cellStyle name="표준 89" xfId="3174"/>
    <cellStyle name="표준 9" xfId="3175"/>
    <cellStyle name="표준 90" xfId="3176"/>
    <cellStyle name="표준 91" xfId="3177"/>
    <cellStyle name="표준 92" xfId="3178"/>
    <cellStyle name="표준 93" xfId="3179"/>
    <cellStyle name="표준 94" xfId="3180"/>
    <cellStyle name="표준 95" xfId="3181"/>
    <cellStyle name="표준 96" xfId="3182"/>
    <cellStyle name="표준 97" xfId="3183"/>
    <cellStyle name="표준 98" xfId="3184"/>
    <cellStyle name="표준 99" xfId="3185"/>
    <cellStyle name="표준_Sheet1_1" xfId="2"/>
  </cellStyles>
  <dxfs count="0"/>
  <tableStyles count="0" defaultTableStyle="TableStyleMedium9" defaultPivotStyle="PivotStyleLight16"/>
  <colors>
    <mruColors>
      <color rgb="FFFFFFCC"/>
      <color rgb="FF0000FF"/>
      <color rgb="FFFFCC99"/>
      <color rgb="FF99CCFF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handy8\AttTemp\15.07.31.&#52509;&#44292;&#44397;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종합점수"/>
      <sheetName val="예금수익성"/>
      <sheetName val="수신고"/>
      <sheetName val="체크카드"/>
      <sheetName val="스마트"/>
      <sheetName val="수수료"/>
      <sheetName val="우수고객"/>
    </sheetNames>
    <sheetDataSet>
      <sheetData sheetId="0">
        <row r="2">
          <cell r="A2">
            <v>42216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0"/>
  <sheetViews>
    <sheetView showGridLines="0" workbookViewId="0">
      <pane ySplit="4" topLeftCell="A23" activePane="bottomLeft" state="frozen"/>
      <selection pane="bottomLeft" activeCell="I11" sqref="I11"/>
    </sheetView>
  </sheetViews>
  <sheetFormatPr defaultRowHeight="16.5"/>
  <cols>
    <col min="1" max="1" width="0.75" style="1" customWidth="1"/>
    <col min="2" max="2" width="15.5" style="114" customWidth="1"/>
    <col min="3" max="3" width="15.75" customWidth="1"/>
    <col min="4" max="4" width="19.75" style="115" customWidth="1"/>
    <col min="5" max="5" width="19" style="1" customWidth="1"/>
    <col min="6" max="6" width="16" customWidth="1"/>
    <col min="9" max="9" width="11.25" bestFit="1" customWidth="1"/>
  </cols>
  <sheetData>
    <row r="1" spans="2:9" s="1" customFormat="1" ht="4.5" customHeight="1" thickBot="1">
      <c r="B1" s="114"/>
      <c r="D1" s="115"/>
    </row>
    <row r="2" spans="2:9" s="1" customFormat="1" ht="49.5" customHeight="1" thickBot="1">
      <c r="B2" s="529" t="s">
        <v>82</v>
      </c>
      <c r="C2" s="530"/>
      <c r="D2" s="530"/>
      <c r="E2" s="530"/>
      <c r="F2" s="531"/>
    </row>
    <row r="3" spans="2:9" ht="19.5" customHeight="1" thickBot="1">
      <c r="F3" s="113" t="s">
        <v>78</v>
      </c>
    </row>
    <row r="4" spans="2:9" ht="39" customHeight="1" thickBot="1">
      <c r="B4" s="119" t="s">
        <v>76</v>
      </c>
      <c r="C4" s="120" t="s">
        <v>77</v>
      </c>
      <c r="D4" s="121" t="s">
        <v>79</v>
      </c>
      <c r="E4" s="122" t="s">
        <v>80</v>
      </c>
      <c r="F4" s="123" t="s">
        <v>81</v>
      </c>
    </row>
    <row r="5" spans="2:9" ht="16.5" customHeight="1">
      <c r="B5" s="110" t="s">
        <v>28</v>
      </c>
      <c r="C5" s="30">
        <v>19</v>
      </c>
      <c r="D5" s="116">
        <v>65160965.332999997</v>
      </c>
      <c r="E5" s="116">
        <v>1600</v>
      </c>
      <c r="F5" s="109"/>
      <c r="I5" s="117"/>
    </row>
    <row r="6" spans="2:9" ht="16.5" customHeight="1">
      <c r="B6" s="111" t="s">
        <v>29</v>
      </c>
      <c r="C6" s="50">
        <v>8</v>
      </c>
      <c r="D6" s="53">
        <v>79844064.643000007</v>
      </c>
      <c r="E6" s="53">
        <v>1200</v>
      </c>
      <c r="F6" s="108"/>
      <c r="I6" s="117"/>
    </row>
    <row r="7" spans="2:9" ht="16.5" customHeight="1">
      <c r="B7" s="111" t="s">
        <v>30</v>
      </c>
      <c r="C7" s="50">
        <v>5</v>
      </c>
      <c r="D7" s="53">
        <v>34134725.561999999</v>
      </c>
      <c r="E7" s="53">
        <v>600</v>
      </c>
      <c r="F7" s="108"/>
      <c r="I7" s="117"/>
    </row>
    <row r="8" spans="2:9" ht="16.5" customHeight="1">
      <c r="B8" s="111" t="s">
        <v>31</v>
      </c>
      <c r="C8" s="50">
        <v>16</v>
      </c>
      <c r="D8" s="53">
        <v>126514433.883</v>
      </c>
      <c r="E8" s="53">
        <v>1600</v>
      </c>
      <c r="F8" s="108"/>
      <c r="I8" s="117"/>
    </row>
    <row r="9" spans="2:9" ht="16.5" customHeight="1">
      <c r="B9" s="111" t="s">
        <v>32</v>
      </c>
      <c r="C9" s="50">
        <v>11</v>
      </c>
      <c r="D9" s="53">
        <v>73868936.157999992</v>
      </c>
      <c r="E9" s="53">
        <v>1300</v>
      </c>
      <c r="F9" s="108"/>
      <c r="I9" s="117"/>
    </row>
    <row r="10" spans="2:9" ht="16.5" customHeight="1">
      <c r="B10" s="111" t="s">
        <v>33</v>
      </c>
      <c r="C10" s="50">
        <v>12</v>
      </c>
      <c r="D10" s="53">
        <v>56865347.149000004</v>
      </c>
      <c r="E10" s="53">
        <v>1200</v>
      </c>
      <c r="F10" s="108"/>
      <c r="I10" s="117"/>
    </row>
    <row r="11" spans="2:9" ht="16.5" customHeight="1">
      <c r="B11" s="111" t="s">
        <v>34</v>
      </c>
      <c r="C11" s="50">
        <v>10</v>
      </c>
      <c r="D11" s="53">
        <v>94870194.38499999</v>
      </c>
      <c r="E11" s="53">
        <v>1300</v>
      </c>
      <c r="F11" s="108"/>
      <c r="I11" s="117"/>
    </row>
    <row r="12" spans="2:9" ht="16.5" customHeight="1">
      <c r="B12" s="111" t="s">
        <v>35</v>
      </c>
      <c r="C12" s="50">
        <v>9</v>
      </c>
      <c r="D12" s="53">
        <v>49403854.390000001</v>
      </c>
      <c r="E12" s="53">
        <v>1000</v>
      </c>
      <c r="F12" s="108"/>
      <c r="I12" s="117"/>
    </row>
    <row r="13" spans="2:9" ht="16.5" customHeight="1">
      <c r="B13" s="112" t="s">
        <v>36</v>
      </c>
      <c r="C13" s="58">
        <v>5</v>
      </c>
      <c r="D13" s="53"/>
      <c r="E13" s="53">
        <v>1500</v>
      </c>
      <c r="F13" s="108"/>
      <c r="I13" s="117"/>
    </row>
    <row r="14" spans="2:9" ht="16.5" customHeight="1">
      <c r="B14" s="111" t="s">
        <v>37</v>
      </c>
      <c r="C14" s="50">
        <v>8</v>
      </c>
      <c r="D14" s="53">
        <v>39369777.476000004</v>
      </c>
      <c r="E14" s="53">
        <v>800</v>
      </c>
      <c r="F14" s="108"/>
      <c r="I14" s="117"/>
    </row>
    <row r="15" spans="2:9" ht="16.5" customHeight="1">
      <c r="B15" s="111" t="s">
        <v>38</v>
      </c>
      <c r="C15" s="50">
        <v>11</v>
      </c>
      <c r="D15" s="53">
        <v>79587458.157000005</v>
      </c>
      <c r="E15" s="53">
        <v>1300</v>
      </c>
      <c r="F15" s="108"/>
      <c r="I15" s="117"/>
    </row>
    <row r="16" spans="2:9" ht="16.5" customHeight="1">
      <c r="B16" s="111" t="s">
        <v>39</v>
      </c>
      <c r="C16" s="50">
        <v>10</v>
      </c>
      <c r="D16" s="53">
        <v>78738587.622000009</v>
      </c>
      <c r="E16" s="53">
        <v>1300</v>
      </c>
      <c r="F16" s="108"/>
      <c r="I16" s="117"/>
    </row>
    <row r="17" spans="2:9" ht="16.5" customHeight="1">
      <c r="B17" s="111" t="s">
        <v>40</v>
      </c>
      <c r="C17" s="50">
        <v>9</v>
      </c>
      <c r="D17" s="53">
        <v>66275286.856000006</v>
      </c>
      <c r="E17" s="53">
        <v>1140</v>
      </c>
      <c r="F17" s="108"/>
      <c r="I17" s="117"/>
    </row>
    <row r="18" spans="2:9" ht="16.5" customHeight="1">
      <c r="B18" s="111" t="s">
        <v>41</v>
      </c>
      <c r="C18" s="50">
        <v>16</v>
      </c>
      <c r="D18" s="53">
        <v>90927758.50500001</v>
      </c>
      <c r="E18" s="53">
        <v>1600</v>
      </c>
      <c r="F18" s="108"/>
      <c r="I18" s="117"/>
    </row>
    <row r="19" spans="2:9" ht="16.5" customHeight="1">
      <c r="B19" s="111" t="s">
        <v>42</v>
      </c>
      <c r="C19" s="50">
        <v>14</v>
      </c>
      <c r="D19" s="53">
        <v>77915437.135999992</v>
      </c>
      <c r="E19" s="53">
        <v>1300</v>
      </c>
      <c r="F19" s="108"/>
      <c r="I19" s="117"/>
    </row>
    <row r="20" spans="2:9" ht="16.5" customHeight="1">
      <c r="B20" s="111" t="s">
        <v>43</v>
      </c>
      <c r="C20" s="50">
        <v>9</v>
      </c>
      <c r="D20" s="53">
        <v>46237038.064999998</v>
      </c>
      <c r="E20" s="53">
        <v>900</v>
      </c>
      <c r="F20" s="108"/>
      <c r="I20" s="117"/>
    </row>
    <row r="21" spans="2:9" ht="16.5" customHeight="1">
      <c r="B21" s="111" t="s">
        <v>44</v>
      </c>
      <c r="C21" s="50">
        <v>10</v>
      </c>
      <c r="D21" s="53">
        <v>45899019.200000003</v>
      </c>
      <c r="E21" s="53">
        <v>1000</v>
      </c>
      <c r="F21" s="108"/>
      <c r="I21" s="117"/>
    </row>
    <row r="22" spans="2:9" ht="16.5" customHeight="1">
      <c r="B22" s="111" t="s">
        <v>45</v>
      </c>
      <c r="C22" s="50">
        <v>6</v>
      </c>
      <c r="D22" s="53">
        <v>44919107.158</v>
      </c>
      <c r="E22" s="53">
        <v>750</v>
      </c>
      <c r="F22" s="108"/>
      <c r="I22" s="117"/>
    </row>
    <row r="23" spans="2:9" ht="16.5" customHeight="1">
      <c r="B23" s="111" t="s">
        <v>46</v>
      </c>
      <c r="C23" s="50">
        <v>7</v>
      </c>
      <c r="D23" s="53">
        <v>40327099.653999999</v>
      </c>
      <c r="E23" s="53">
        <v>800</v>
      </c>
      <c r="F23" s="108"/>
      <c r="I23" s="117"/>
    </row>
    <row r="24" spans="2:9" ht="16.5" customHeight="1">
      <c r="B24" s="111" t="s">
        <v>47</v>
      </c>
      <c r="C24" s="50">
        <v>6</v>
      </c>
      <c r="D24" s="53">
        <v>32065045.504999999</v>
      </c>
      <c r="E24" s="53">
        <v>650</v>
      </c>
      <c r="F24" s="108"/>
      <c r="I24" s="117"/>
    </row>
    <row r="25" spans="2:9" ht="16.5" customHeight="1">
      <c r="B25" s="111" t="s">
        <v>48</v>
      </c>
      <c r="C25" s="50">
        <v>11</v>
      </c>
      <c r="D25" s="53">
        <v>32689330.498999998</v>
      </c>
      <c r="E25" s="53">
        <v>1000</v>
      </c>
      <c r="F25" s="108"/>
      <c r="I25" s="117"/>
    </row>
    <row r="26" spans="2:9" ht="16.5" customHeight="1">
      <c r="B26" s="111" t="s">
        <v>49</v>
      </c>
      <c r="C26" s="50">
        <v>19</v>
      </c>
      <c r="D26" s="53">
        <v>77014297.623999998</v>
      </c>
      <c r="E26" s="53">
        <v>1600</v>
      </c>
      <c r="F26" s="108"/>
      <c r="I26" s="117"/>
    </row>
    <row r="27" spans="2:9" ht="16.5" customHeight="1">
      <c r="B27" s="111" t="s">
        <v>50</v>
      </c>
      <c r="C27" s="50">
        <v>9</v>
      </c>
      <c r="D27" s="53">
        <v>37294393.476999998</v>
      </c>
      <c r="E27" s="53">
        <v>900</v>
      </c>
      <c r="F27" s="108"/>
      <c r="I27" s="117"/>
    </row>
    <row r="28" spans="2:9" ht="16.5" customHeight="1">
      <c r="B28" s="111" t="s">
        <v>51</v>
      </c>
      <c r="C28" s="50">
        <v>17</v>
      </c>
      <c r="D28" s="53">
        <v>47895767.308000006</v>
      </c>
      <c r="E28" s="53">
        <v>1300</v>
      </c>
      <c r="F28" s="108"/>
      <c r="I28" s="117"/>
    </row>
    <row r="29" spans="2:9" ht="16.5" customHeight="1">
      <c r="B29" s="111" t="s">
        <v>52</v>
      </c>
      <c r="C29" s="50">
        <v>15</v>
      </c>
      <c r="D29" s="53">
        <v>38320384.277999997</v>
      </c>
      <c r="E29" s="53">
        <v>1200</v>
      </c>
      <c r="F29" s="108"/>
      <c r="I29" s="117"/>
    </row>
    <row r="30" spans="2:9" ht="16.5" customHeight="1">
      <c r="B30" s="112" t="s">
        <v>53</v>
      </c>
      <c r="C30" s="58">
        <v>8</v>
      </c>
      <c r="D30" s="53">
        <v>34356715.321999997</v>
      </c>
      <c r="E30" s="53">
        <v>800</v>
      </c>
      <c r="F30" s="108"/>
      <c r="I30" s="117"/>
    </row>
    <row r="31" spans="2:9" ht="16.5" customHeight="1">
      <c r="B31" s="111" t="s">
        <v>54</v>
      </c>
      <c r="C31" s="50">
        <v>12</v>
      </c>
      <c r="D31" s="53">
        <v>31441876.817000002</v>
      </c>
      <c r="E31" s="53">
        <v>1049</v>
      </c>
      <c r="F31" s="108"/>
      <c r="I31" s="117"/>
    </row>
    <row r="32" spans="2:9" ht="16.5" customHeight="1">
      <c r="B32" s="111" t="s">
        <v>55</v>
      </c>
      <c r="C32" s="50">
        <v>13</v>
      </c>
      <c r="D32" s="53">
        <v>22066930.673999999</v>
      </c>
      <c r="E32" s="53">
        <v>1000</v>
      </c>
      <c r="F32" s="108"/>
      <c r="I32" s="117"/>
    </row>
    <row r="33" spans="2:9" ht="16.5" customHeight="1">
      <c r="B33" s="111" t="s">
        <v>56</v>
      </c>
      <c r="C33" s="50">
        <v>12</v>
      </c>
      <c r="D33" s="53">
        <v>23396465.874000002</v>
      </c>
      <c r="E33" s="53">
        <v>1000</v>
      </c>
      <c r="F33" s="108"/>
      <c r="I33" s="117"/>
    </row>
    <row r="34" spans="2:9" ht="16.5" customHeight="1">
      <c r="B34" s="111" t="s">
        <v>57</v>
      </c>
      <c r="C34" s="50">
        <v>6</v>
      </c>
      <c r="D34" s="53">
        <v>18866397.572000001</v>
      </c>
      <c r="E34" s="53">
        <v>600</v>
      </c>
      <c r="F34" s="108"/>
      <c r="I34" s="117"/>
    </row>
    <row r="35" spans="2:9" ht="16.5" customHeight="1">
      <c r="B35" s="111" t="s">
        <v>58</v>
      </c>
      <c r="C35" s="50">
        <v>7</v>
      </c>
      <c r="D35" s="53">
        <v>26024284.242000002</v>
      </c>
      <c r="E35" s="53">
        <v>800</v>
      </c>
      <c r="F35" s="108"/>
      <c r="I35" s="117"/>
    </row>
    <row r="36" spans="2:9" ht="16.5" customHeight="1">
      <c r="B36" s="111" t="s">
        <v>59</v>
      </c>
      <c r="C36" s="50">
        <v>11</v>
      </c>
      <c r="D36" s="53">
        <v>21016965.307</v>
      </c>
      <c r="E36" s="53">
        <v>900</v>
      </c>
      <c r="F36" s="108"/>
      <c r="I36" s="117"/>
    </row>
    <row r="37" spans="2:9" ht="16.5" customHeight="1">
      <c r="B37" s="111" t="s">
        <v>60</v>
      </c>
      <c r="C37" s="50">
        <v>9</v>
      </c>
      <c r="D37" s="53">
        <v>19098765.787999999</v>
      </c>
      <c r="E37" s="53">
        <v>750</v>
      </c>
      <c r="F37" s="108"/>
      <c r="I37" s="117"/>
    </row>
    <row r="38" spans="2:9" ht="16.5" customHeight="1">
      <c r="B38" s="111" t="s">
        <v>61</v>
      </c>
      <c r="C38" s="50">
        <v>14</v>
      </c>
      <c r="D38" s="53">
        <v>31361196.779000003</v>
      </c>
      <c r="E38" s="53">
        <v>1000</v>
      </c>
      <c r="F38" s="108"/>
      <c r="I38" s="117"/>
    </row>
    <row r="39" spans="2:9" ht="16.5" customHeight="1">
      <c r="B39" s="111" t="s">
        <v>62</v>
      </c>
      <c r="C39" s="50">
        <v>6</v>
      </c>
      <c r="D39" s="53">
        <v>19223879.026999999</v>
      </c>
      <c r="E39" s="53">
        <v>600</v>
      </c>
      <c r="F39" s="108"/>
      <c r="I39" s="117"/>
    </row>
    <row r="40" spans="2:9" ht="16.5" customHeight="1">
      <c r="B40" s="111" t="s">
        <v>63</v>
      </c>
      <c r="C40" s="50">
        <v>7</v>
      </c>
      <c r="D40" s="53">
        <v>16361454.726</v>
      </c>
      <c r="E40" s="53">
        <v>600</v>
      </c>
      <c r="F40" s="108"/>
      <c r="I40" s="117"/>
    </row>
    <row r="41" spans="2:9" ht="16.5" customHeight="1">
      <c r="B41" s="111" t="s">
        <v>64</v>
      </c>
      <c r="C41" s="50">
        <v>3</v>
      </c>
      <c r="D41" s="53">
        <v>18923074.438999999</v>
      </c>
      <c r="E41" s="53">
        <v>500</v>
      </c>
      <c r="F41" s="108"/>
      <c r="I41" s="117"/>
    </row>
    <row r="42" spans="2:9" ht="16.5" customHeight="1">
      <c r="B42" s="111" t="s">
        <v>65</v>
      </c>
      <c r="C42" s="50">
        <v>4</v>
      </c>
      <c r="D42" s="53">
        <v>6545133.2119999994</v>
      </c>
      <c r="E42" s="53">
        <v>400</v>
      </c>
      <c r="F42" s="108"/>
      <c r="I42" s="117"/>
    </row>
    <row r="43" spans="2:9" ht="16.5" customHeight="1">
      <c r="B43" s="111" t="s">
        <v>66</v>
      </c>
      <c r="C43" s="50">
        <v>3</v>
      </c>
      <c r="D43" s="53">
        <v>19179549.331999999</v>
      </c>
      <c r="E43" s="53">
        <v>500</v>
      </c>
      <c r="F43" s="108"/>
      <c r="I43" s="117"/>
    </row>
    <row r="44" spans="2:9" ht="16.5" customHeight="1" thickBot="1">
      <c r="B44" s="111" t="s">
        <v>67</v>
      </c>
      <c r="C44" s="50">
        <v>5</v>
      </c>
      <c r="D44" s="53">
        <v>23651958.452</v>
      </c>
      <c r="E44" s="53">
        <v>600</v>
      </c>
      <c r="F44" s="108"/>
    </row>
    <row r="45" spans="2:9" ht="16.5" customHeight="1" thickBot="1">
      <c r="B45" s="130" t="s">
        <v>68</v>
      </c>
      <c r="C45" s="127">
        <f>SUM(C5:C44)</f>
        <v>392</v>
      </c>
      <c r="D45" s="127">
        <f>SUM(D5:D44)</f>
        <v>1787652957.5860002</v>
      </c>
      <c r="E45" s="128">
        <f>SUM(E5:E44)</f>
        <v>39939</v>
      </c>
      <c r="F45" s="129"/>
    </row>
    <row r="46" spans="2:9">
      <c r="C46" s="124">
        <v>23963</v>
      </c>
      <c r="D46" s="125">
        <v>15976</v>
      </c>
    </row>
    <row r="47" spans="2:9">
      <c r="C47" s="126">
        <f>C46/C45</f>
        <v>61.130102040816325</v>
      </c>
      <c r="D47" s="125">
        <v>39939</v>
      </c>
    </row>
    <row r="50" spans="5:5">
      <c r="E50" s="118"/>
    </row>
  </sheetData>
  <mergeCells count="1">
    <mergeCell ref="B2:F2"/>
  </mergeCells>
  <phoneticPr fontId="2" type="noConversion"/>
  <pageMargins left="0.38" right="0.39" top="0.17" bottom="0.17" header="0.17" footer="0.17"/>
  <pageSetup paperSize="9" orientation="portrait" verticalDpi="0" r:id="rId1"/>
  <ignoredErrors>
    <ignoredError sqref="D4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BF47"/>
  <sheetViews>
    <sheetView showGridLines="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Y4" sqref="AY4"/>
    </sheetView>
  </sheetViews>
  <sheetFormatPr defaultRowHeight="16.5"/>
  <cols>
    <col min="1" max="1" width="11.875" style="1" customWidth="1"/>
    <col min="2" max="3" width="12.375" style="1" bestFit="1" customWidth="1"/>
    <col min="4" max="9" width="9" style="1"/>
    <col min="10" max="11" width="12.375" style="1" bestFit="1" customWidth="1"/>
    <col min="12" max="20" width="9" style="1"/>
    <col min="21" max="22" width="10.5" style="1" bestFit="1" customWidth="1"/>
    <col min="23" max="28" width="9" style="1"/>
    <col min="29" max="30" width="9.875" style="1" customWidth="1"/>
    <col min="31" max="36" width="9" style="1"/>
    <col min="37" max="37" width="12.375" style="1" bestFit="1" customWidth="1"/>
    <col min="38" max="38" width="10.5" style="1" bestFit="1" customWidth="1"/>
    <col min="39" max="39" width="9.375" style="1" bestFit="1" customWidth="1"/>
    <col min="40" max="47" width="9" style="1"/>
    <col min="48" max="50" width="9.625" style="1" customWidth="1"/>
    <col min="51" max="52" width="13.625" style="1" customWidth="1"/>
    <col min="53" max="53" width="16.25" style="1" customWidth="1"/>
    <col min="54" max="54" width="12.375" style="1" customWidth="1"/>
    <col min="55" max="57" width="13.625" style="1" customWidth="1"/>
    <col min="58" max="58" width="13.5" style="1" customWidth="1"/>
    <col min="59" max="16384" width="9" style="1"/>
  </cols>
  <sheetData>
    <row r="1" spans="1:58" ht="17.25" thickBot="1"/>
    <row r="2" spans="1:58" ht="28.5" customHeight="1">
      <c r="A2" s="535" t="s">
        <v>69</v>
      </c>
      <c r="B2" s="537" t="s">
        <v>75</v>
      </c>
      <c r="C2" s="533"/>
      <c r="D2" s="533"/>
      <c r="E2" s="533"/>
      <c r="F2" s="533"/>
      <c r="G2" s="533"/>
      <c r="H2" s="533"/>
      <c r="I2" s="538"/>
      <c r="J2" s="532" t="s">
        <v>1</v>
      </c>
      <c r="K2" s="533"/>
      <c r="L2" s="533"/>
      <c r="M2" s="533"/>
      <c r="N2" s="533"/>
      <c r="O2" s="533"/>
      <c r="P2" s="533"/>
      <c r="Q2" s="534"/>
      <c r="R2" s="537" t="s">
        <v>2</v>
      </c>
      <c r="S2" s="533"/>
      <c r="T2" s="538"/>
      <c r="U2" s="532" t="s">
        <v>3</v>
      </c>
      <c r="V2" s="533"/>
      <c r="W2" s="533"/>
      <c r="X2" s="533"/>
      <c r="Y2" s="533"/>
      <c r="Z2" s="533"/>
      <c r="AA2" s="533"/>
      <c r="AB2" s="534"/>
      <c r="AC2" s="532" t="s">
        <v>4</v>
      </c>
      <c r="AD2" s="533"/>
      <c r="AE2" s="533"/>
      <c r="AF2" s="533"/>
      <c r="AG2" s="533"/>
      <c r="AH2" s="533"/>
      <c r="AI2" s="533"/>
      <c r="AJ2" s="534"/>
      <c r="AK2" s="537" t="s">
        <v>5</v>
      </c>
      <c r="AL2" s="533"/>
      <c r="AM2" s="533"/>
      <c r="AN2" s="533"/>
      <c r="AO2" s="533"/>
      <c r="AP2" s="533"/>
      <c r="AQ2" s="533"/>
      <c r="AR2" s="538"/>
      <c r="AS2" s="532" t="s">
        <v>6</v>
      </c>
      <c r="AT2" s="533"/>
      <c r="AU2" s="534"/>
      <c r="AV2" s="543" t="s">
        <v>7</v>
      </c>
      <c r="AW2" s="545" t="s">
        <v>8</v>
      </c>
      <c r="AX2" s="547" t="s">
        <v>9</v>
      </c>
      <c r="AY2" s="549" t="s">
        <v>10</v>
      </c>
      <c r="AZ2" s="550"/>
      <c r="BA2" s="550"/>
      <c r="BB2" s="550"/>
      <c r="BC2" s="551"/>
      <c r="BD2" s="539" t="s">
        <v>11</v>
      </c>
      <c r="BE2" s="540"/>
      <c r="BF2" s="541" t="s">
        <v>12</v>
      </c>
    </row>
    <row r="3" spans="1:58" ht="36" customHeight="1" thickBot="1">
      <c r="A3" s="536"/>
      <c r="B3" s="2" t="s">
        <v>13</v>
      </c>
      <c r="C3" s="3" t="s">
        <v>14</v>
      </c>
      <c r="D3" s="3" t="s">
        <v>15</v>
      </c>
      <c r="E3" s="4" t="s">
        <v>16</v>
      </c>
      <c r="F3" s="4" t="s">
        <v>17</v>
      </c>
      <c r="G3" s="4" t="s">
        <v>18</v>
      </c>
      <c r="H3" s="4" t="s">
        <v>19</v>
      </c>
      <c r="I3" s="5" t="s">
        <v>20</v>
      </c>
      <c r="J3" s="6" t="s">
        <v>13</v>
      </c>
      <c r="K3" s="3" t="s">
        <v>14</v>
      </c>
      <c r="L3" s="3" t="s">
        <v>15</v>
      </c>
      <c r="M3" s="4" t="s">
        <v>16</v>
      </c>
      <c r="N3" s="4" t="s">
        <v>17</v>
      </c>
      <c r="O3" s="4" t="s">
        <v>18</v>
      </c>
      <c r="P3" s="4" t="s">
        <v>19</v>
      </c>
      <c r="Q3" s="7" t="s">
        <v>20</v>
      </c>
      <c r="R3" s="8" t="s">
        <v>21</v>
      </c>
      <c r="S3" s="3" t="s">
        <v>8</v>
      </c>
      <c r="T3" s="9" t="s">
        <v>20</v>
      </c>
      <c r="U3" s="6" t="s">
        <v>13</v>
      </c>
      <c r="V3" s="3" t="s">
        <v>14</v>
      </c>
      <c r="W3" s="3" t="s">
        <v>15</v>
      </c>
      <c r="X3" s="4" t="s">
        <v>16</v>
      </c>
      <c r="Y3" s="4" t="s">
        <v>17</v>
      </c>
      <c r="Z3" s="4" t="s">
        <v>18</v>
      </c>
      <c r="AA3" s="4" t="s">
        <v>19</v>
      </c>
      <c r="AB3" s="10" t="s">
        <v>20</v>
      </c>
      <c r="AC3" s="11" t="s">
        <v>13</v>
      </c>
      <c r="AD3" s="3" t="s">
        <v>14</v>
      </c>
      <c r="AE3" s="3" t="s">
        <v>15</v>
      </c>
      <c r="AF3" s="4" t="s">
        <v>16</v>
      </c>
      <c r="AG3" s="4" t="s">
        <v>17</v>
      </c>
      <c r="AH3" s="4" t="s">
        <v>18</v>
      </c>
      <c r="AI3" s="4" t="s">
        <v>19</v>
      </c>
      <c r="AJ3" s="7" t="s">
        <v>20</v>
      </c>
      <c r="AK3" s="8" t="s">
        <v>13</v>
      </c>
      <c r="AL3" s="3" t="s">
        <v>14</v>
      </c>
      <c r="AM3" s="3" t="s">
        <v>15</v>
      </c>
      <c r="AN3" s="4" t="s">
        <v>16</v>
      </c>
      <c r="AO3" s="4" t="s">
        <v>17</v>
      </c>
      <c r="AP3" s="4" t="s">
        <v>18</v>
      </c>
      <c r="AQ3" s="4" t="s">
        <v>19</v>
      </c>
      <c r="AR3" s="9" t="s">
        <v>20</v>
      </c>
      <c r="AS3" s="6" t="s">
        <v>21</v>
      </c>
      <c r="AT3" s="3" t="s">
        <v>8</v>
      </c>
      <c r="AU3" s="7" t="s">
        <v>20</v>
      </c>
      <c r="AV3" s="544"/>
      <c r="AW3" s="546"/>
      <c r="AX3" s="548"/>
      <c r="AY3" s="12" t="s">
        <v>22</v>
      </c>
      <c r="AZ3" s="13" t="s">
        <v>23</v>
      </c>
      <c r="BA3" s="13" t="s">
        <v>24</v>
      </c>
      <c r="BB3" s="14" t="s">
        <v>25</v>
      </c>
      <c r="BC3" s="15" t="s">
        <v>26</v>
      </c>
      <c r="BD3" s="16" t="s">
        <v>22</v>
      </c>
      <c r="BE3" s="17" t="s">
        <v>27</v>
      </c>
      <c r="BF3" s="542"/>
    </row>
    <row r="4" spans="1:58">
      <c r="A4" s="18" t="s">
        <v>28</v>
      </c>
      <c r="B4" s="19">
        <v>299995</v>
      </c>
      <c r="C4" s="20">
        <v>323347.67689900001</v>
      </c>
      <c r="D4" s="21">
        <v>107.78435537225621</v>
      </c>
      <c r="E4" s="20">
        <v>13</v>
      </c>
      <c r="F4" s="22">
        <v>13.199999999999996</v>
      </c>
      <c r="G4" s="20">
        <v>10</v>
      </c>
      <c r="H4" s="22">
        <v>13.649999999999997</v>
      </c>
      <c r="I4" s="23">
        <v>13.424999999999997</v>
      </c>
      <c r="J4" s="24">
        <v>61649</v>
      </c>
      <c r="K4" s="20">
        <v>64908.880835999997</v>
      </c>
      <c r="L4" s="21">
        <v>105.28780813314084</v>
      </c>
      <c r="M4" s="20">
        <v>9</v>
      </c>
      <c r="N4" s="22">
        <v>13.799999999999997</v>
      </c>
      <c r="O4" s="20">
        <v>10</v>
      </c>
      <c r="P4" s="22">
        <v>13.649999999999997</v>
      </c>
      <c r="Q4" s="25">
        <v>13.724999999999998</v>
      </c>
      <c r="R4" s="26">
        <v>19.982900000000001</v>
      </c>
      <c r="S4" s="20">
        <v>6</v>
      </c>
      <c r="T4" s="23">
        <v>19.000000000000004</v>
      </c>
      <c r="U4" s="24">
        <v>9804</v>
      </c>
      <c r="V4" s="20">
        <v>9003</v>
      </c>
      <c r="W4" s="21">
        <v>91.829865361077111</v>
      </c>
      <c r="X4" s="20">
        <v>21</v>
      </c>
      <c r="Y4" s="22">
        <v>11.999999999999993</v>
      </c>
      <c r="Z4" s="20">
        <v>7</v>
      </c>
      <c r="AA4" s="22">
        <v>14.099999999999998</v>
      </c>
      <c r="AB4" s="25">
        <v>13.049999999999995</v>
      </c>
      <c r="AC4" s="24">
        <v>5846</v>
      </c>
      <c r="AD4" s="20">
        <v>4769</v>
      </c>
      <c r="AE4" s="21">
        <v>81.577146767020182</v>
      </c>
      <c r="AF4" s="20">
        <v>17</v>
      </c>
      <c r="AG4" s="22">
        <v>12.599999999999994</v>
      </c>
      <c r="AH4" s="20">
        <v>10</v>
      </c>
      <c r="AI4" s="22">
        <v>13.649999999999997</v>
      </c>
      <c r="AJ4" s="25">
        <v>13.124999999999996</v>
      </c>
      <c r="AK4" s="27">
        <v>29619.754629248422</v>
      </c>
      <c r="AL4" s="20">
        <v>20050.060000000001</v>
      </c>
      <c r="AM4" s="21">
        <v>67.691512812875573</v>
      </c>
      <c r="AN4" s="20">
        <v>8</v>
      </c>
      <c r="AO4" s="22">
        <v>9.3000000000000025</v>
      </c>
      <c r="AP4" s="20">
        <v>13</v>
      </c>
      <c r="AQ4" s="22">
        <v>8.8000000000000043</v>
      </c>
      <c r="AR4" s="23">
        <v>9.0500000000000043</v>
      </c>
      <c r="AS4" s="28">
        <v>7.0534190126215623</v>
      </c>
      <c r="AT4" s="20">
        <v>15</v>
      </c>
      <c r="AU4" s="25">
        <v>8.600000000000005</v>
      </c>
      <c r="AV4" s="29">
        <f>I4+Q4+T4+AB4+AJ4+AR4+AU4</f>
        <v>89.975000000000009</v>
      </c>
      <c r="AW4" s="30">
        <f>RANK(AV4,$AV$4:$AV$29)</f>
        <v>10</v>
      </c>
      <c r="AX4" s="31">
        <v>19</v>
      </c>
      <c r="AY4" s="32">
        <v>27000</v>
      </c>
      <c r="AZ4" s="33">
        <v>3300</v>
      </c>
      <c r="BA4" s="33">
        <v>3200</v>
      </c>
      <c r="BB4" s="33">
        <v>900</v>
      </c>
      <c r="BC4" s="34">
        <v>600</v>
      </c>
      <c r="BD4" s="35">
        <v>10000</v>
      </c>
      <c r="BE4" s="36">
        <v>5000</v>
      </c>
      <c r="BF4" s="37">
        <v>50250</v>
      </c>
    </row>
    <row r="5" spans="1:58">
      <c r="A5" s="38" t="s">
        <v>29</v>
      </c>
      <c r="B5" s="39">
        <v>224643</v>
      </c>
      <c r="C5" s="40">
        <v>265705.886757</v>
      </c>
      <c r="D5" s="41">
        <v>118.27917484942776</v>
      </c>
      <c r="E5" s="40">
        <v>1</v>
      </c>
      <c r="F5" s="42">
        <v>15</v>
      </c>
      <c r="G5" s="40">
        <v>15</v>
      </c>
      <c r="H5" s="42">
        <v>12.899999999999995</v>
      </c>
      <c r="I5" s="43">
        <v>13.949999999999998</v>
      </c>
      <c r="J5" s="44">
        <v>54762</v>
      </c>
      <c r="K5" s="40">
        <v>80103.360782999996</v>
      </c>
      <c r="L5" s="41">
        <v>146.27544790730798</v>
      </c>
      <c r="M5" s="40">
        <v>1</v>
      </c>
      <c r="N5" s="42">
        <v>15</v>
      </c>
      <c r="O5" s="40">
        <v>4</v>
      </c>
      <c r="P5" s="42">
        <v>14.549999999999999</v>
      </c>
      <c r="Q5" s="45">
        <v>14.774999999999999</v>
      </c>
      <c r="R5" s="46">
        <v>19.984999999999999</v>
      </c>
      <c r="S5" s="40">
        <v>5</v>
      </c>
      <c r="T5" s="43">
        <v>19.200000000000003</v>
      </c>
      <c r="U5" s="44">
        <v>6756</v>
      </c>
      <c r="V5" s="40">
        <v>6468</v>
      </c>
      <c r="W5" s="41">
        <v>95.737122557726465</v>
      </c>
      <c r="X5" s="40">
        <v>12</v>
      </c>
      <c r="Y5" s="42">
        <v>13.349999999999996</v>
      </c>
      <c r="Z5" s="40">
        <v>16</v>
      </c>
      <c r="AA5" s="42">
        <v>12.749999999999995</v>
      </c>
      <c r="AB5" s="45">
        <v>13.049999999999995</v>
      </c>
      <c r="AC5" s="44">
        <v>4154</v>
      </c>
      <c r="AD5" s="40">
        <v>3709</v>
      </c>
      <c r="AE5" s="41">
        <v>89.287433798748197</v>
      </c>
      <c r="AF5" s="20">
        <v>6</v>
      </c>
      <c r="AG5" s="22">
        <v>14.249999999999998</v>
      </c>
      <c r="AH5" s="40">
        <v>13</v>
      </c>
      <c r="AI5" s="42">
        <v>13.199999999999996</v>
      </c>
      <c r="AJ5" s="25">
        <v>13.724999999999998</v>
      </c>
      <c r="AK5" s="47">
        <v>19391.732260071101</v>
      </c>
      <c r="AL5" s="40">
        <v>13799.48</v>
      </c>
      <c r="AM5" s="41">
        <v>71.161667327751175</v>
      </c>
      <c r="AN5" s="40">
        <v>4</v>
      </c>
      <c r="AO5" s="42">
        <v>9.7000000000000011</v>
      </c>
      <c r="AP5" s="40">
        <v>22</v>
      </c>
      <c r="AQ5" s="42">
        <v>7.9</v>
      </c>
      <c r="AR5" s="23">
        <v>8.8000000000000007</v>
      </c>
      <c r="AS5" s="48">
        <v>7.0654022597504218</v>
      </c>
      <c r="AT5" s="40">
        <v>14</v>
      </c>
      <c r="AU5" s="45">
        <v>8.7000000000000046</v>
      </c>
      <c r="AV5" s="29">
        <f t="shared" ref="AV5:AV43" si="0">I5+Q5+T5+AB5+AJ5+AR5+AU5</f>
        <v>92.199999999999989</v>
      </c>
      <c r="AW5" s="30">
        <f t="shared" ref="AW5:AW29" si="1">RANK(AV5,$AV$4:$AV$29)</f>
        <v>3</v>
      </c>
      <c r="AX5" s="51">
        <v>8</v>
      </c>
      <c r="AY5" s="52">
        <v>33000</v>
      </c>
      <c r="AZ5" s="53">
        <v>1800</v>
      </c>
      <c r="BA5" s="53">
        <v>1800</v>
      </c>
      <c r="BB5" s="53">
        <v>500</v>
      </c>
      <c r="BC5" s="54">
        <v>900</v>
      </c>
      <c r="BD5" s="55">
        <v>16000</v>
      </c>
      <c r="BE5" s="56">
        <v>8000</v>
      </c>
      <c r="BF5" s="37">
        <v>61900</v>
      </c>
    </row>
    <row r="6" spans="1:58">
      <c r="A6" s="38" t="s">
        <v>30</v>
      </c>
      <c r="B6" s="39">
        <v>151364</v>
      </c>
      <c r="C6" s="40">
        <v>167687.40096100001</v>
      </c>
      <c r="D6" s="41">
        <v>110.78420295512804</v>
      </c>
      <c r="E6" s="40">
        <v>7</v>
      </c>
      <c r="F6" s="42">
        <v>14.099999999999998</v>
      </c>
      <c r="G6" s="40">
        <v>22</v>
      </c>
      <c r="H6" s="42">
        <v>11.849999999999993</v>
      </c>
      <c r="I6" s="43">
        <v>12.974999999999994</v>
      </c>
      <c r="J6" s="44">
        <v>32926</v>
      </c>
      <c r="K6" s="40">
        <v>34130.885876</v>
      </c>
      <c r="L6" s="41">
        <v>103.65937519285671</v>
      </c>
      <c r="M6" s="40">
        <v>10</v>
      </c>
      <c r="N6" s="42">
        <v>13.649999999999997</v>
      </c>
      <c r="O6" s="40">
        <v>22</v>
      </c>
      <c r="P6" s="42">
        <v>11.849999999999993</v>
      </c>
      <c r="Q6" s="45">
        <v>12.749999999999995</v>
      </c>
      <c r="R6" s="46">
        <v>19.9544</v>
      </c>
      <c r="S6" s="40">
        <v>18</v>
      </c>
      <c r="T6" s="43">
        <v>16.600000000000012</v>
      </c>
      <c r="U6" s="44">
        <v>5402</v>
      </c>
      <c r="V6" s="40">
        <v>5207</v>
      </c>
      <c r="W6" s="41">
        <v>96.390225842280628</v>
      </c>
      <c r="X6" s="40">
        <v>8</v>
      </c>
      <c r="Y6" s="42">
        <v>13.949999999999998</v>
      </c>
      <c r="Z6" s="40">
        <v>24</v>
      </c>
      <c r="AA6" s="42">
        <v>11.549999999999992</v>
      </c>
      <c r="AB6" s="45">
        <v>12.749999999999995</v>
      </c>
      <c r="AC6" s="44">
        <v>3152.0000000000005</v>
      </c>
      <c r="AD6" s="40">
        <v>2246</v>
      </c>
      <c r="AE6" s="41">
        <v>71.256345177664969</v>
      </c>
      <c r="AF6" s="20">
        <v>22</v>
      </c>
      <c r="AG6" s="22">
        <v>11.849999999999993</v>
      </c>
      <c r="AH6" s="40">
        <v>24</v>
      </c>
      <c r="AI6" s="42">
        <v>11.549999999999992</v>
      </c>
      <c r="AJ6" s="25">
        <v>11.699999999999992</v>
      </c>
      <c r="AK6" s="47">
        <v>12023.776359356245</v>
      </c>
      <c r="AL6" s="40">
        <v>7854.42</v>
      </c>
      <c r="AM6" s="41">
        <v>65.324069287833353</v>
      </c>
      <c r="AN6" s="40">
        <v>18</v>
      </c>
      <c r="AO6" s="42">
        <v>8.3000000000000007</v>
      </c>
      <c r="AP6" s="40">
        <v>24</v>
      </c>
      <c r="AQ6" s="42">
        <v>7.7</v>
      </c>
      <c r="AR6" s="23">
        <v>8</v>
      </c>
      <c r="AS6" s="48">
        <v>7.2162227255604794</v>
      </c>
      <c r="AT6" s="40">
        <v>7</v>
      </c>
      <c r="AU6" s="45">
        <v>9.4000000000000021</v>
      </c>
      <c r="AV6" s="29">
        <f t="shared" si="0"/>
        <v>84.174999999999997</v>
      </c>
      <c r="AW6" s="30">
        <f t="shared" si="1"/>
        <v>23</v>
      </c>
      <c r="AX6" s="51">
        <v>5</v>
      </c>
      <c r="AY6" s="52">
        <v>23000</v>
      </c>
      <c r="AZ6" s="53">
        <v>1500</v>
      </c>
      <c r="BA6" s="53">
        <v>1500</v>
      </c>
      <c r="BB6" s="53">
        <v>400</v>
      </c>
      <c r="BC6" s="54">
        <v>500</v>
      </c>
      <c r="BD6" s="55">
        <v>7000</v>
      </c>
      <c r="BE6" s="56">
        <v>4000</v>
      </c>
      <c r="BF6" s="37">
        <v>37400</v>
      </c>
    </row>
    <row r="7" spans="1:58">
      <c r="A7" s="38" t="s">
        <v>31</v>
      </c>
      <c r="B7" s="39">
        <v>421947</v>
      </c>
      <c r="C7" s="40">
        <v>481259.07493300003</v>
      </c>
      <c r="D7" s="41">
        <v>114.05675948235205</v>
      </c>
      <c r="E7" s="40">
        <v>4</v>
      </c>
      <c r="F7" s="42">
        <v>14.549999999999999</v>
      </c>
      <c r="G7" s="40">
        <v>3</v>
      </c>
      <c r="H7" s="42">
        <v>14.7</v>
      </c>
      <c r="I7" s="43">
        <v>14.625</v>
      </c>
      <c r="J7" s="44">
        <v>98615</v>
      </c>
      <c r="K7" s="40">
        <v>129374.30506300001</v>
      </c>
      <c r="L7" s="41">
        <v>131.19130463215535</v>
      </c>
      <c r="M7" s="40">
        <v>2</v>
      </c>
      <c r="N7" s="42">
        <v>14.85</v>
      </c>
      <c r="O7" s="40">
        <v>1</v>
      </c>
      <c r="P7" s="42">
        <v>15</v>
      </c>
      <c r="Q7" s="45">
        <v>14.925000000000001</v>
      </c>
      <c r="R7" s="46">
        <v>19.95</v>
      </c>
      <c r="S7" s="40">
        <v>20</v>
      </c>
      <c r="T7" s="43">
        <v>16.200000000000014</v>
      </c>
      <c r="U7" s="44">
        <v>15565</v>
      </c>
      <c r="V7" s="40">
        <v>14827</v>
      </c>
      <c r="W7" s="41">
        <v>95.258592997108892</v>
      </c>
      <c r="X7" s="40">
        <v>16</v>
      </c>
      <c r="Y7" s="42">
        <v>12.749999999999995</v>
      </c>
      <c r="Z7" s="40">
        <v>1</v>
      </c>
      <c r="AA7" s="42">
        <v>15</v>
      </c>
      <c r="AB7" s="45">
        <v>13.874999999999996</v>
      </c>
      <c r="AC7" s="44">
        <v>8681</v>
      </c>
      <c r="AD7" s="40">
        <v>7576</v>
      </c>
      <c r="AE7" s="41">
        <v>87.271051722151824</v>
      </c>
      <c r="AF7" s="20">
        <v>12</v>
      </c>
      <c r="AG7" s="22">
        <v>13.349999999999996</v>
      </c>
      <c r="AH7" s="40">
        <v>1</v>
      </c>
      <c r="AI7" s="42">
        <v>15</v>
      </c>
      <c r="AJ7" s="25">
        <v>14.174999999999997</v>
      </c>
      <c r="AK7" s="47">
        <v>48503.051117651346</v>
      </c>
      <c r="AL7" s="40">
        <v>30774.83</v>
      </c>
      <c r="AM7" s="41">
        <v>63.449266161320622</v>
      </c>
      <c r="AN7" s="40">
        <v>23</v>
      </c>
      <c r="AO7" s="42">
        <v>7.8</v>
      </c>
      <c r="AP7" s="40">
        <v>4</v>
      </c>
      <c r="AQ7" s="42">
        <v>9.7000000000000011</v>
      </c>
      <c r="AR7" s="23">
        <v>8.75</v>
      </c>
      <c r="AS7" s="48">
        <v>6.9398331830609852</v>
      </c>
      <c r="AT7" s="40">
        <v>17</v>
      </c>
      <c r="AU7" s="45">
        <v>8.4</v>
      </c>
      <c r="AV7" s="29">
        <f t="shared" si="0"/>
        <v>90.950000000000017</v>
      </c>
      <c r="AW7" s="30">
        <f t="shared" si="1"/>
        <v>7</v>
      </c>
      <c r="AX7" s="51">
        <v>16</v>
      </c>
      <c r="AY7" s="52">
        <v>33000</v>
      </c>
      <c r="AZ7" s="53">
        <v>3000</v>
      </c>
      <c r="BA7" s="53">
        <v>4000</v>
      </c>
      <c r="BB7" s="53">
        <v>850</v>
      </c>
      <c r="BC7" s="54">
        <v>800</v>
      </c>
      <c r="BD7" s="55">
        <v>15000</v>
      </c>
      <c r="BE7" s="56">
        <v>6000</v>
      </c>
      <c r="BF7" s="37">
        <v>62650</v>
      </c>
    </row>
    <row r="8" spans="1:58">
      <c r="A8" s="38" t="s">
        <v>32</v>
      </c>
      <c r="B8" s="39">
        <v>315529</v>
      </c>
      <c r="C8" s="40">
        <v>344504.00949500001</v>
      </c>
      <c r="D8" s="41">
        <v>109.18299411306093</v>
      </c>
      <c r="E8" s="40">
        <v>11</v>
      </c>
      <c r="F8" s="42">
        <v>13.499999999999996</v>
      </c>
      <c r="G8" s="40">
        <v>8</v>
      </c>
      <c r="H8" s="42">
        <v>13.949999999999998</v>
      </c>
      <c r="I8" s="43">
        <v>13.724999999999998</v>
      </c>
      <c r="J8" s="44">
        <v>72656</v>
      </c>
      <c r="K8" s="40">
        <v>73623.766407000003</v>
      </c>
      <c r="L8" s="41">
        <v>101.33198415409602</v>
      </c>
      <c r="M8" s="40">
        <v>18</v>
      </c>
      <c r="N8" s="42">
        <v>12.449999999999994</v>
      </c>
      <c r="O8" s="40">
        <v>9</v>
      </c>
      <c r="P8" s="42">
        <v>13.799999999999997</v>
      </c>
      <c r="Q8" s="45">
        <v>13.124999999999996</v>
      </c>
      <c r="R8" s="46">
        <v>19.97</v>
      </c>
      <c r="S8" s="40">
        <v>10</v>
      </c>
      <c r="T8" s="43">
        <v>18.200000000000006</v>
      </c>
      <c r="U8" s="44">
        <v>9432</v>
      </c>
      <c r="V8" s="40">
        <v>9275</v>
      </c>
      <c r="W8" s="41">
        <v>98.335453774385073</v>
      </c>
      <c r="X8" s="40">
        <v>3</v>
      </c>
      <c r="Y8" s="42">
        <v>14.7</v>
      </c>
      <c r="Z8" s="40">
        <v>5</v>
      </c>
      <c r="AA8" s="42">
        <v>14.399999999999999</v>
      </c>
      <c r="AB8" s="45">
        <v>14.549999999999999</v>
      </c>
      <c r="AC8" s="44">
        <v>5856.0000000000009</v>
      </c>
      <c r="AD8" s="40">
        <v>5688</v>
      </c>
      <c r="AE8" s="41">
        <v>97.131147540983591</v>
      </c>
      <c r="AF8" s="20">
        <v>3</v>
      </c>
      <c r="AG8" s="22">
        <v>14.7</v>
      </c>
      <c r="AH8" s="40">
        <v>3</v>
      </c>
      <c r="AI8" s="42">
        <v>14.7</v>
      </c>
      <c r="AJ8" s="25">
        <v>14.7</v>
      </c>
      <c r="AK8" s="47">
        <v>27864.372502300728</v>
      </c>
      <c r="AL8" s="40">
        <v>18443.900000000001</v>
      </c>
      <c r="AM8" s="41">
        <v>66.19169334775836</v>
      </c>
      <c r="AN8" s="40">
        <v>14</v>
      </c>
      <c r="AO8" s="42">
        <v>8.7000000000000046</v>
      </c>
      <c r="AP8" s="40">
        <v>15</v>
      </c>
      <c r="AQ8" s="42">
        <v>8.600000000000005</v>
      </c>
      <c r="AR8" s="23">
        <v>8.6500000000000057</v>
      </c>
      <c r="AS8" s="48">
        <v>7.2419777982360483</v>
      </c>
      <c r="AT8" s="40">
        <v>5</v>
      </c>
      <c r="AU8" s="45">
        <v>9.6000000000000014</v>
      </c>
      <c r="AV8" s="29">
        <f t="shared" si="0"/>
        <v>92.550000000000011</v>
      </c>
      <c r="AW8" s="30">
        <f t="shared" si="1"/>
        <v>2</v>
      </c>
      <c r="AX8" s="51">
        <v>11</v>
      </c>
      <c r="AY8" s="52">
        <v>33000</v>
      </c>
      <c r="AZ8" s="53">
        <v>2000</v>
      </c>
      <c r="BA8" s="53">
        <v>2700</v>
      </c>
      <c r="BB8" s="53">
        <v>600</v>
      </c>
      <c r="BC8" s="54">
        <v>1000</v>
      </c>
      <c r="BD8" s="55">
        <v>17000</v>
      </c>
      <c r="BE8" s="56">
        <v>9000</v>
      </c>
      <c r="BF8" s="37">
        <v>65300</v>
      </c>
    </row>
    <row r="9" spans="1:58">
      <c r="A9" s="38" t="s">
        <v>33</v>
      </c>
      <c r="B9" s="39">
        <v>263868</v>
      </c>
      <c r="C9" s="40">
        <v>275841.53005900001</v>
      </c>
      <c r="D9" s="41">
        <v>104.53769690110208</v>
      </c>
      <c r="E9" s="40">
        <v>19</v>
      </c>
      <c r="F9" s="42">
        <v>12.299999999999994</v>
      </c>
      <c r="G9" s="40">
        <v>14</v>
      </c>
      <c r="H9" s="42">
        <v>13.049999999999995</v>
      </c>
      <c r="I9" s="43">
        <v>12.674999999999994</v>
      </c>
      <c r="J9" s="44">
        <v>55706</v>
      </c>
      <c r="K9" s="40">
        <v>56791.186292999999</v>
      </c>
      <c r="L9" s="41">
        <v>101.94805998097154</v>
      </c>
      <c r="M9" s="40">
        <v>16</v>
      </c>
      <c r="N9" s="42">
        <v>12.749999999999995</v>
      </c>
      <c r="O9" s="40">
        <v>12</v>
      </c>
      <c r="P9" s="42">
        <v>13.349999999999996</v>
      </c>
      <c r="Q9" s="45">
        <v>13.049999999999995</v>
      </c>
      <c r="R9" s="46">
        <v>19.994999999999997</v>
      </c>
      <c r="S9" s="40">
        <v>2</v>
      </c>
      <c r="T9" s="43">
        <v>19.8</v>
      </c>
      <c r="U9" s="44">
        <v>8847</v>
      </c>
      <c r="V9" s="40">
        <v>7860</v>
      </c>
      <c r="W9" s="41">
        <v>88.843675822312647</v>
      </c>
      <c r="X9" s="40">
        <v>24</v>
      </c>
      <c r="Y9" s="42">
        <v>11.549999999999992</v>
      </c>
      <c r="Z9" s="40">
        <v>11</v>
      </c>
      <c r="AA9" s="42">
        <v>13.499999999999996</v>
      </c>
      <c r="AB9" s="45">
        <v>12.524999999999995</v>
      </c>
      <c r="AC9" s="44">
        <v>5227</v>
      </c>
      <c r="AD9" s="40">
        <v>3003</v>
      </c>
      <c r="AE9" s="41">
        <v>57.451693131815567</v>
      </c>
      <c r="AF9" s="20">
        <v>25</v>
      </c>
      <c r="AG9" s="22">
        <v>11.399999999999991</v>
      </c>
      <c r="AH9" s="40">
        <v>21</v>
      </c>
      <c r="AI9" s="42">
        <v>11.999999999999993</v>
      </c>
      <c r="AJ9" s="25">
        <v>11.699999999999992</v>
      </c>
      <c r="AK9" s="47">
        <v>33634.971335939954</v>
      </c>
      <c r="AL9" s="40">
        <v>22267.74</v>
      </c>
      <c r="AM9" s="41">
        <v>66.204129557875589</v>
      </c>
      <c r="AN9" s="40">
        <v>13</v>
      </c>
      <c r="AO9" s="42">
        <v>8.8000000000000043</v>
      </c>
      <c r="AP9" s="40">
        <v>11</v>
      </c>
      <c r="AQ9" s="42">
        <v>9.0000000000000036</v>
      </c>
      <c r="AR9" s="23">
        <v>8.9000000000000039</v>
      </c>
      <c r="AS9" s="48">
        <v>6.9359441020876966</v>
      </c>
      <c r="AT9" s="40">
        <v>18</v>
      </c>
      <c r="AU9" s="45">
        <v>8.3000000000000007</v>
      </c>
      <c r="AV9" s="29">
        <f t="shared" si="0"/>
        <v>86.949999999999974</v>
      </c>
      <c r="AW9" s="30">
        <f t="shared" si="1"/>
        <v>17</v>
      </c>
      <c r="AX9" s="51">
        <v>12</v>
      </c>
      <c r="AY9" s="52">
        <v>25000</v>
      </c>
      <c r="AZ9" s="53">
        <v>2000</v>
      </c>
      <c r="BA9" s="53">
        <v>2800</v>
      </c>
      <c r="BB9" s="53">
        <v>600</v>
      </c>
      <c r="BC9" s="54">
        <v>550</v>
      </c>
      <c r="BD9" s="55">
        <v>8000</v>
      </c>
      <c r="BE9" s="56">
        <v>4500</v>
      </c>
      <c r="BF9" s="37">
        <v>43950</v>
      </c>
    </row>
    <row r="10" spans="1:58">
      <c r="A10" s="38" t="s">
        <v>34</v>
      </c>
      <c r="B10" s="39">
        <v>464377</v>
      </c>
      <c r="C10" s="40">
        <v>485367.95041500003</v>
      </c>
      <c r="D10" s="41">
        <v>104.52023903315624</v>
      </c>
      <c r="E10" s="40">
        <v>20</v>
      </c>
      <c r="F10" s="42">
        <v>12.149999999999993</v>
      </c>
      <c r="G10" s="40">
        <v>2</v>
      </c>
      <c r="H10" s="42">
        <v>14.85</v>
      </c>
      <c r="I10" s="43">
        <v>13.499999999999996</v>
      </c>
      <c r="J10" s="44">
        <v>92948</v>
      </c>
      <c r="K10" s="40">
        <v>95193.144694999995</v>
      </c>
      <c r="L10" s="41">
        <v>102.41548467422645</v>
      </c>
      <c r="M10" s="40">
        <v>14</v>
      </c>
      <c r="N10" s="42">
        <v>13.049999999999995</v>
      </c>
      <c r="O10" s="40">
        <v>2</v>
      </c>
      <c r="P10" s="42">
        <v>14.85</v>
      </c>
      <c r="Q10" s="45">
        <v>13.949999999999998</v>
      </c>
      <c r="R10" s="46">
        <v>19.982900000000001</v>
      </c>
      <c r="S10" s="40">
        <v>6</v>
      </c>
      <c r="T10" s="43">
        <v>19.000000000000004</v>
      </c>
      <c r="U10" s="44">
        <v>12188</v>
      </c>
      <c r="V10" s="40">
        <v>11475</v>
      </c>
      <c r="W10" s="41">
        <v>94.149983590416809</v>
      </c>
      <c r="X10" s="40">
        <v>19</v>
      </c>
      <c r="Y10" s="42">
        <v>12.299999999999994</v>
      </c>
      <c r="Z10" s="40">
        <v>4</v>
      </c>
      <c r="AA10" s="42">
        <v>14.549999999999999</v>
      </c>
      <c r="AB10" s="45">
        <v>13.424999999999997</v>
      </c>
      <c r="AC10" s="44">
        <v>7283</v>
      </c>
      <c r="AD10" s="105">
        <v>6475</v>
      </c>
      <c r="AE10" s="41">
        <f>AD10/AC10%</f>
        <v>88.905670740079643</v>
      </c>
      <c r="AF10" s="20">
        <v>8</v>
      </c>
      <c r="AG10" s="22">
        <v>13.949999999999998</v>
      </c>
      <c r="AH10" s="40">
        <v>8</v>
      </c>
      <c r="AI10" s="42">
        <v>13.949999999999998</v>
      </c>
      <c r="AJ10" s="25">
        <v>13.949999999999998</v>
      </c>
      <c r="AK10" s="47">
        <v>49017</v>
      </c>
      <c r="AL10" s="40">
        <v>34682.04</v>
      </c>
      <c r="AM10" s="41">
        <v>70.755125772691102</v>
      </c>
      <c r="AN10" s="40">
        <v>5</v>
      </c>
      <c r="AO10" s="42">
        <v>9.6000000000000014</v>
      </c>
      <c r="AP10" s="40">
        <v>3</v>
      </c>
      <c r="AQ10" s="42">
        <v>9.8000000000000007</v>
      </c>
      <c r="AR10" s="23">
        <v>9.7000000000000011</v>
      </c>
      <c r="AS10" s="48">
        <v>6.8976547248810673</v>
      </c>
      <c r="AT10" s="40">
        <v>20</v>
      </c>
      <c r="AU10" s="45">
        <v>8.1</v>
      </c>
      <c r="AV10" s="29">
        <f t="shared" si="0"/>
        <v>91.625</v>
      </c>
      <c r="AW10" s="30">
        <f t="shared" si="1"/>
        <v>4</v>
      </c>
      <c r="AX10" s="51">
        <v>10</v>
      </c>
      <c r="AY10" s="52">
        <v>30000</v>
      </c>
      <c r="AZ10" s="53">
        <v>1900</v>
      </c>
      <c r="BA10" s="53">
        <v>2300</v>
      </c>
      <c r="BB10" s="53">
        <v>600</v>
      </c>
      <c r="BC10" s="54">
        <v>850</v>
      </c>
      <c r="BD10" s="55">
        <v>12000</v>
      </c>
      <c r="BE10" s="56">
        <v>6000</v>
      </c>
      <c r="BF10" s="37">
        <v>53400</v>
      </c>
    </row>
    <row r="11" spans="1:58">
      <c r="A11" s="38" t="s">
        <v>35</v>
      </c>
      <c r="B11" s="39">
        <v>285275</v>
      </c>
      <c r="C11" s="40">
        <v>291092.817263</v>
      </c>
      <c r="D11" s="41">
        <v>102.03937157584787</v>
      </c>
      <c r="E11" s="40">
        <v>23</v>
      </c>
      <c r="F11" s="42">
        <v>11.699999999999992</v>
      </c>
      <c r="G11" s="40">
        <v>13</v>
      </c>
      <c r="H11" s="42">
        <v>13.199999999999996</v>
      </c>
      <c r="I11" s="43">
        <v>12.449999999999994</v>
      </c>
      <c r="J11" s="44">
        <v>45192</v>
      </c>
      <c r="K11" s="40">
        <v>48712.389089999997</v>
      </c>
      <c r="L11" s="41">
        <v>107.78985017259691</v>
      </c>
      <c r="M11" s="40">
        <v>7</v>
      </c>
      <c r="N11" s="42">
        <v>14.099999999999998</v>
      </c>
      <c r="O11" s="40">
        <v>13</v>
      </c>
      <c r="P11" s="42">
        <v>13.199999999999996</v>
      </c>
      <c r="Q11" s="45">
        <v>13.649999999999997</v>
      </c>
      <c r="R11" s="46">
        <v>20</v>
      </c>
      <c r="S11" s="40">
        <v>1</v>
      </c>
      <c r="T11" s="43">
        <v>20</v>
      </c>
      <c r="U11" s="44">
        <v>8180</v>
      </c>
      <c r="V11" s="40">
        <v>7863</v>
      </c>
      <c r="W11" s="41">
        <v>96.124694376528126</v>
      </c>
      <c r="X11" s="40">
        <v>10</v>
      </c>
      <c r="Y11" s="42">
        <v>13.649999999999997</v>
      </c>
      <c r="Z11" s="40">
        <v>10</v>
      </c>
      <c r="AA11" s="42">
        <v>13.649999999999997</v>
      </c>
      <c r="AB11" s="45">
        <v>13.649999999999997</v>
      </c>
      <c r="AC11" s="44">
        <v>3989</v>
      </c>
      <c r="AD11" s="40">
        <v>3483</v>
      </c>
      <c r="AE11" s="41">
        <f>AD11/AC11%</f>
        <v>87.31511657056906</v>
      </c>
      <c r="AF11" s="20">
        <v>11</v>
      </c>
      <c r="AG11" s="22">
        <v>13.499999999999996</v>
      </c>
      <c r="AH11" s="40">
        <v>7</v>
      </c>
      <c r="AI11" s="42">
        <v>14.099999999999998</v>
      </c>
      <c r="AJ11" s="25">
        <v>13.799999999999997</v>
      </c>
      <c r="AK11" s="47">
        <v>28705</v>
      </c>
      <c r="AL11" s="40">
        <v>17961.22</v>
      </c>
      <c r="AM11" s="41">
        <v>62.571747082389827</v>
      </c>
      <c r="AN11" s="40">
        <v>24</v>
      </c>
      <c r="AO11" s="42">
        <v>7.7</v>
      </c>
      <c r="AP11" s="40">
        <v>17</v>
      </c>
      <c r="AQ11" s="42">
        <v>8.4</v>
      </c>
      <c r="AR11" s="23">
        <v>8.0500000000000007</v>
      </c>
      <c r="AS11" s="48">
        <v>6.9952675455810738</v>
      </c>
      <c r="AT11" s="40">
        <v>16</v>
      </c>
      <c r="AU11" s="45">
        <v>8.5</v>
      </c>
      <c r="AV11" s="29">
        <f t="shared" si="0"/>
        <v>90.09999999999998</v>
      </c>
      <c r="AW11" s="30">
        <f t="shared" si="1"/>
        <v>9</v>
      </c>
      <c r="AX11" s="51">
        <v>9</v>
      </c>
      <c r="AY11" s="52">
        <v>30000</v>
      </c>
      <c r="AZ11" s="53">
        <v>1800</v>
      </c>
      <c r="BA11" s="53">
        <v>2000</v>
      </c>
      <c r="BB11" s="53">
        <v>600</v>
      </c>
      <c r="BC11" s="54">
        <v>800</v>
      </c>
      <c r="BD11" s="55">
        <v>12000</v>
      </c>
      <c r="BE11" s="56">
        <v>6000</v>
      </c>
      <c r="BF11" s="37">
        <v>53200</v>
      </c>
    </row>
    <row r="12" spans="1:58">
      <c r="A12" s="57" t="s">
        <v>36</v>
      </c>
      <c r="B12" s="39"/>
      <c r="C12" s="40"/>
      <c r="D12" s="41"/>
      <c r="E12" s="40"/>
      <c r="F12" s="42"/>
      <c r="G12" s="40"/>
      <c r="H12" s="42"/>
      <c r="I12" s="43"/>
      <c r="J12" s="44"/>
      <c r="K12" s="40"/>
      <c r="L12" s="41"/>
      <c r="M12" s="40"/>
      <c r="N12" s="42"/>
      <c r="O12" s="40"/>
      <c r="P12" s="42"/>
      <c r="Q12" s="45"/>
      <c r="R12" s="46"/>
      <c r="S12" s="40"/>
      <c r="T12" s="43"/>
      <c r="U12" s="44"/>
      <c r="V12" s="40"/>
      <c r="W12" s="41"/>
      <c r="X12" s="40"/>
      <c r="Y12" s="42"/>
      <c r="Z12" s="40"/>
      <c r="AA12" s="42"/>
      <c r="AB12" s="45"/>
      <c r="AC12" s="44"/>
      <c r="AD12" s="40"/>
      <c r="AE12" s="41"/>
      <c r="AF12" s="20"/>
      <c r="AG12" s="22"/>
      <c r="AH12" s="40"/>
      <c r="AI12" s="42"/>
      <c r="AJ12" s="25">
        <v>0</v>
      </c>
      <c r="AK12" s="47"/>
      <c r="AL12" s="40"/>
      <c r="AM12" s="41"/>
      <c r="AN12" s="40"/>
      <c r="AO12" s="42"/>
      <c r="AP12" s="40"/>
      <c r="AQ12" s="42"/>
      <c r="AR12" s="23">
        <v>0</v>
      </c>
      <c r="AS12" s="48"/>
      <c r="AT12" s="40"/>
      <c r="AU12" s="45"/>
      <c r="AV12" s="29">
        <f t="shared" si="0"/>
        <v>0</v>
      </c>
      <c r="AW12" s="30"/>
      <c r="AX12" s="59">
        <v>5</v>
      </c>
      <c r="AY12" s="60">
        <v>23000</v>
      </c>
      <c r="AZ12" s="61">
        <v>1500</v>
      </c>
      <c r="BA12" s="61">
        <v>1500</v>
      </c>
      <c r="BB12" s="61">
        <v>400</v>
      </c>
      <c r="BC12" s="62">
        <v>500</v>
      </c>
      <c r="BD12" s="63">
        <v>10000</v>
      </c>
      <c r="BE12" s="64">
        <v>4000</v>
      </c>
      <c r="BF12" s="37">
        <v>40400</v>
      </c>
    </row>
    <row r="13" spans="1:58">
      <c r="A13" s="38" t="s">
        <v>37</v>
      </c>
      <c r="B13" s="39">
        <v>233265</v>
      </c>
      <c r="C13" s="40">
        <v>258308.10174000001</v>
      </c>
      <c r="D13" s="41">
        <v>110.73590197414957</v>
      </c>
      <c r="E13" s="40">
        <v>8</v>
      </c>
      <c r="F13" s="42">
        <v>13.949999999999998</v>
      </c>
      <c r="G13" s="40">
        <v>16</v>
      </c>
      <c r="H13" s="42">
        <v>12.749999999999995</v>
      </c>
      <c r="I13" s="43">
        <v>13.349999999999996</v>
      </c>
      <c r="J13" s="44">
        <v>36687</v>
      </c>
      <c r="K13" s="40">
        <v>39291.491134000004</v>
      </c>
      <c r="L13" s="41">
        <v>107.09922079755772</v>
      </c>
      <c r="M13" s="40">
        <v>8</v>
      </c>
      <c r="N13" s="42">
        <v>13.949999999999998</v>
      </c>
      <c r="O13" s="40">
        <v>19</v>
      </c>
      <c r="P13" s="42">
        <v>12.299999999999994</v>
      </c>
      <c r="Q13" s="45">
        <v>13.124999999999996</v>
      </c>
      <c r="R13" s="46">
        <v>19.968000000000004</v>
      </c>
      <c r="S13" s="40">
        <v>11</v>
      </c>
      <c r="T13" s="43">
        <v>18.000000000000007</v>
      </c>
      <c r="U13" s="44">
        <v>5836</v>
      </c>
      <c r="V13" s="40">
        <v>5628</v>
      </c>
      <c r="W13" s="41">
        <v>96.435915010281022</v>
      </c>
      <c r="X13" s="40">
        <v>7</v>
      </c>
      <c r="Y13" s="42">
        <v>14.099999999999998</v>
      </c>
      <c r="Z13" s="40">
        <v>21</v>
      </c>
      <c r="AA13" s="42">
        <v>11.999999999999993</v>
      </c>
      <c r="AB13" s="45">
        <v>13.049999999999995</v>
      </c>
      <c r="AC13" s="44">
        <v>3678</v>
      </c>
      <c r="AD13" s="40">
        <v>3064</v>
      </c>
      <c r="AE13" s="41">
        <v>83.306144643828162</v>
      </c>
      <c r="AF13" s="20">
        <v>16</v>
      </c>
      <c r="AG13" s="22">
        <v>12.749999999999995</v>
      </c>
      <c r="AH13" s="40">
        <v>20</v>
      </c>
      <c r="AI13" s="42">
        <v>12.149999999999993</v>
      </c>
      <c r="AJ13" s="25">
        <v>12.449999999999994</v>
      </c>
      <c r="AK13" s="47">
        <v>27026.946546454514</v>
      </c>
      <c r="AL13" s="40">
        <v>18180.14</v>
      </c>
      <c r="AM13" s="41">
        <v>67.266718305568006</v>
      </c>
      <c r="AN13" s="40">
        <v>9</v>
      </c>
      <c r="AO13" s="42">
        <v>9.2000000000000028</v>
      </c>
      <c r="AP13" s="40">
        <v>16</v>
      </c>
      <c r="AQ13" s="42">
        <v>8.5</v>
      </c>
      <c r="AR13" s="23">
        <v>8.8500000000000014</v>
      </c>
      <c r="AS13" s="48">
        <v>7.4680156657963446</v>
      </c>
      <c r="AT13" s="40">
        <v>1</v>
      </c>
      <c r="AU13" s="45">
        <v>10</v>
      </c>
      <c r="AV13" s="29">
        <f t="shared" si="0"/>
        <v>88.824999999999989</v>
      </c>
      <c r="AW13" s="30">
        <f t="shared" si="1"/>
        <v>12</v>
      </c>
      <c r="AX13" s="51">
        <v>8</v>
      </c>
      <c r="AY13" s="52">
        <v>27000</v>
      </c>
      <c r="AZ13" s="53">
        <v>1800</v>
      </c>
      <c r="BA13" s="53">
        <v>1800</v>
      </c>
      <c r="BB13" s="53">
        <v>500</v>
      </c>
      <c r="BC13" s="54">
        <v>600</v>
      </c>
      <c r="BD13" s="55">
        <v>10000</v>
      </c>
      <c r="BE13" s="56">
        <v>5000</v>
      </c>
      <c r="BF13" s="37">
        <v>46650</v>
      </c>
    </row>
    <row r="14" spans="1:58">
      <c r="A14" s="38" t="s">
        <v>38</v>
      </c>
      <c r="B14" s="39">
        <v>434881</v>
      </c>
      <c r="C14" s="40">
        <v>461935.24262799998</v>
      </c>
      <c r="D14" s="41">
        <v>106.22106797675684</v>
      </c>
      <c r="E14" s="40">
        <v>16</v>
      </c>
      <c r="F14" s="42">
        <v>12.749999999999995</v>
      </c>
      <c r="G14" s="40">
        <v>4</v>
      </c>
      <c r="H14" s="42">
        <v>14.549999999999999</v>
      </c>
      <c r="I14" s="43">
        <v>13.649999999999997</v>
      </c>
      <c r="J14" s="44">
        <v>67063</v>
      </c>
      <c r="K14" s="40">
        <v>78374.326675000004</v>
      </c>
      <c r="L14" s="41">
        <v>116.86671737768964</v>
      </c>
      <c r="M14" s="40">
        <v>4</v>
      </c>
      <c r="N14" s="42">
        <v>14.549999999999999</v>
      </c>
      <c r="O14" s="40">
        <v>6</v>
      </c>
      <c r="P14" s="42">
        <v>14.249999999999998</v>
      </c>
      <c r="Q14" s="45">
        <v>14.399999999999999</v>
      </c>
      <c r="R14" s="46">
        <v>19.96</v>
      </c>
      <c r="S14" s="40">
        <v>17</v>
      </c>
      <c r="T14" s="43">
        <v>16.800000000000011</v>
      </c>
      <c r="U14" s="44">
        <v>8801</v>
      </c>
      <c r="V14" s="40">
        <v>8505</v>
      </c>
      <c r="W14" s="41">
        <v>96.636745824338135</v>
      </c>
      <c r="X14" s="40">
        <v>5</v>
      </c>
      <c r="Y14" s="42">
        <v>14.399999999999999</v>
      </c>
      <c r="Z14" s="40">
        <v>9</v>
      </c>
      <c r="AA14" s="42">
        <v>13.799999999999997</v>
      </c>
      <c r="AB14" s="45">
        <v>14.099999999999998</v>
      </c>
      <c r="AC14" s="44">
        <v>5493</v>
      </c>
      <c r="AD14" s="40">
        <v>5529</v>
      </c>
      <c r="AE14" s="41">
        <v>100.65537957400328</v>
      </c>
      <c r="AF14" s="20">
        <v>1</v>
      </c>
      <c r="AG14" s="22">
        <v>15</v>
      </c>
      <c r="AH14" s="40">
        <v>4</v>
      </c>
      <c r="AI14" s="42">
        <v>14.549999999999999</v>
      </c>
      <c r="AJ14" s="25">
        <v>14.774999999999999</v>
      </c>
      <c r="AK14" s="47">
        <v>46481.533432008931</v>
      </c>
      <c r="AL14" s="40">
        <v>30419</v>
      </c>
      <c r="AM14" s="41">
        <v>65.443193788981873</v>
      </c>
      <c r="AN14" s="40">
        <v>17</v>
      </c>
      <c r="AO14" s="42">
        <v>8.4</v>
      </c>
      <c r="AP14" s="40">
        <v>5</v>
      </c>
      <c r="AQ14" s="42">
        <v>9.6000000000000014</v>
      </c>
      <c r="AR14" s="23">
        <v>9</v>
      </c>
      <c r="AS14" s="48">
        <v>6.6858769121086405</v>
      </c>
      <c r="AT14" s="40">
        <v>24</v>
      </c>
      <c r="AU14" s="45">
        <v>7.7</v>
      </c>
      <c r="AV14" s="29">
        <f t="shared" si="0"/>
        <v>90.424999999999997</v>
      </c>
      <c r="AW14" s="30">
        <f t="shared" si="1"/>
        <v>8</v>
      </c>
      <c r="AX14" s="51">
        <v>11</v>
      </c>
      <c r="AY14" s="52">
        <v>30000</v>
      </c>
      <c r="AZ14" s="53">
        <v>2000</v>
      </c>
      <c r="BA14" s="53">
        <v>2700</v>
      </c>
      <c r="BB14" s="53">
        <v>600</v>
      </c>
      <c r="BC14" s="54">
        <v>800</v>
      </c>
      <c r="BD14" s="55">
        <v>12000</v>
      </c>
      <c r="BE14" s="56">
        <v>6000</v>
      </c>
      <c r="BF14" s="37">
        <v>54100</v>
      </c>
    </row>
    <row r="15" spans="1:58">
      <c r="A15" s="38" t="s">
        <v>39</v>
      </c>
      <c r="B15" s="39">
        <v>331000</v>
      </c>
      <c r="C15" s="40">
        <v>362257.84118300001</v>
      </c>
      <c r="D15" s="41">
        <v>109.44345655075529</v>
      </c>
      <c r="E15" s="40">
        <v>9</v>
      </c>
      <c r="F15" s="42">
        <v>13.799999999999997</v>
      </c>
      <c r="G15" s="40">
        <v>7</v>
      </c>
      <c r="H15" s="42">
        <v>14.099999999999998</v>
      </c>
      <c r="I15" s="43">
        <v>13.949999999999998</v>
      </c>
      <c r="J15" s="44">
        <v>77732</v>
      </c>
      <c r="K15" s="40">
        <v>78424.700419000001</v>
      </c>
      <c r="L15" s="41">
        <v>100.8911393235733</v>
      </c>
      <c r="M15" s="40">
        <v>19</v>
      </c>
      <c r="N15" s="42">
        <v>12.299999999999994</v>
      </c>
      <c r="O15" s="40">
        <v>5</v>
      </c>
      <c r="P15" s="42">
        <v>14.399999999999999</v>
      </c>
      <c r="Q15" s="45">
        <v>13.349999999999996</v>
      </c>
      <c r="R15" s="46">
        <v>19.990000000000002</v>
      </c>
      <c r="S15" s="40">
        <v>4</v>
      </c>
      <c r="T15" s="43">
        <v>19.400000000000002</v>
      </c>
      <c r="U15" s="44">
        <v>9630</v>
      </c>
      <c r="V15" s="40">
        <v>9129</v>
      </c>
      <c r="W15" s="41">
        <v>94.797507788161994</v>
      </c>
      <c r="X15" s="40">
        <v>17</v>
      </c>
      <c r="Y15" s="42">
        <v>12.599999999999994</v>
      </c>
      <c r="Z15" s="40">
        <v>6</v>
      </c>
      <c r="AA15" s="42">
        <v>14.249999999999998</v>
      </c>
      <c r="AB15" s="45">
        <v>13.424999999999997</v>
      </c>
      <c r="AC15" s="44">
        <v>6052</v>
      </c>
      <c r="AD15" s="40">
        <v>4901</v>
      </c>
      <c r="AE15" s="41">
        <v>80.981493721083936</v>
      </c>
      <c r="AF15" s="20">
        <v>18</v>
      </c>
      <c r="AG15" s="22">
        <v>12.449999999999994</v>
      </c>
      <c r="AH15" s="40">
        <v>9</v>
      </c>
      <c r="AI15" s="42">
        <v>13.799999999999997</v>
      </c>
      <c r="AJ15" s="25">
        <v>13.124999999999996</v>
      </c>
      <c r="AK15" s="47">
        <v>25101.804766387198</v>
      </c>
      <c r="AL15" s="40">
        <v>16341.58</v>
      </c>
      <c r="AM15" s="41">
        <v>65.101215438829087</v>
      </c>
      <c r="AN15" s="40">
        <v>19</v>
      </c>
      <c r="AO15" s="42">
        <v>8.1999999999999993</v>
      </c>
      <c r="AP15" s="40">
        <v>18</v>
      </c>
      <c r="AQ15" s="42">
        <v>8.3000000000000007</v>
      </c>
      <c r="AR15" s="23">
        <v>8.25</v>
      </c>
      <c r="AS15" s="48">
        <v>7.2379671738973288</v>
      </c>
      <c r="AT15" s="40">
        <v>6</v>
      </c>
      <c r="AU15" s="45">
        <v>9.5000000000000018</v>
      </c>
      <c r="AV15" s="29">
        <f t="shared" si="0"/>
        <v>90.999999999999986</v>
      </c>
      <c r="AW15" s="30">
        <f t="shared" si="1"/>
        <v>6</v>
      </c>
      <c r="AX15" s="51">
        <v>10</v>
      </c>
      <c r="AY15" s="52">
        <v>30000</v>
      </c>
      <c r="AZ15" s="53">
        <v>1900</v>
      </c>
      <c r="BA15" s="53">
        <v>2300</v>
      </c>
      <c r="BB15" s="53">
        <v>600</v>
      </c>
      <c r="BC15" s="54">
        <v>850</v>
      </c>
      <c r="BD15" s="55">
        <v>12000</v>
      </c>
      <c r="BE15" s="56">
        <v>6000</v>
      </c>
      <c r="BF15" s="37">
        <v>53500</v>
      </c>
    </row>
    <row r="16" spans="1:58">
      <c r="A16" s="38" t="s">
        <v>40</v>
      </c>
      <c r="B16" s="39">
        <v>659092</v>
      </c>
      <c r="C16" s="40">
        <v>652458.231455</v>
      </c>
      <c r="D16" s="41">
        <v>98.993498852208802</v>
      </c>
      <c r="E16" s="40">
        <v>24</v>
      </c>
      <c r="F16" s="42">
        <v>11.549999999999992</v>
      </c>
      <c r="G16" s="40">
        <v>1</v>
      </c>
      <c r="H16" s="42">
        <v>15</v>
      </c>
      <c r="I16" s="43">
        <v>13.274999999999995</v>
      </c>
      <c r="J16" s="44">
        <v>47438</v>
      </c>
      <c r="K16" s="40">
        <v>59868.504426</v>
      </c>
      <c r="L16" s="41">
        <v>126.20368570766053</v>
      </c>
      <c r="M16" s="40">
        <v>3</v>
      </c>
      <c r="N16" s="42">
        <v>14.7</v>
      </c>
      <c r="O16" s="40">
        <v>11</v>
      </c>
      <c r="P16" s="42">
        <v>13.499999999999996</v>
      </c>
      <c r="Q16" s="45">
        <v>14.099999999999998</v>
      </c>
      <c r="R16" s="46">
        <v>19.944000000000003</v>
      </c>
      <c r="S16" s="40">
        <v>22</v>
      </c>
      <c r="T16" s="43">
        <v>15.800000000000015</v>
      </c>
      <c r="U16" s="44">
        <v>6720</v>
      </c>
      <c r="V16" s="40">
        <v>6427</v>
      </c>
      <c r="W16" s="41">
        <v>95.639880952380949</v>
      </c>
      <c r="X16" s="40">
        <v>13</v>
      </c>
      <c r="Y16" s="42">
        <v>13.199999999999996</v>
      </c>
      <c r="Z16" s="40">
        <v>17</v>
      </c>
      <c r="AA16" s="42">
        <v>12.599999999999994</v>
      </c>
      <c r="AB16" s="45">
        <v>12.899999999999995</v>
      </c>
      <c r="AC16" s="44">
        <v>4027</v>
      </c>
      <c r="AD16" s="40">
        <v>3570</v>
      </c>
      <c r="AE16" s="41">
        <v>88.651601688601929</v>
      </c>
      <c r="AF16" s="20">
        <v>10</v>
      </c>
      <c r="AG16" s="22">
        <v>13.649999999999997</v>
      </c>
      <c r="AH16" s="40">
        <v>14</v>
      </c>
      <c r="AI16" s="42">
        <v>13.049999999999995</v>
      </c>
      <c r="AJ16" s="25">
        <v>13.349999999999996</v>
      </c>
      <c r="AK16" s="47">
        <v>62196.252460922144</v>
      </c>
      <c r="AL16" s="40">
        <v>40343.370000000003</v>
      </c>
      <c r="AM16" s="41">
        <v>64.864631555329979</v>
      </c>
      <c r="AN16" s="40">
        <v>21</v>
      </c>
      <c r="AO16" s="42">
        <v>8</v>
      </c>
      <c r="AP16" s="40">
        <v>1</v>
      </c>
      <c r="AQ16" s="42">
        <v>10</v>
      </c>
      <c r="AR16" s="23">
        <v>9</v>
      </c>
      <c r="AS16" s="48">
        <v>7.0892026291149239</v>
      </c>
      <c r="AT16" s="40">
        <v>13</v>
      </c>
      <c r="AU16" s="45">
        <v>8.8000000000000043</v>
      </c>
      <c r="AV16" s="29">
        <f t="shared" si="0"/>
        <v>87.224999999999994</v>
      </c>
      <c r="AW16" s="30">
        <f t="shared" si="1"/>
        <v>15</v>
      </c>
      <c r="AX16" s="51">
        <v>9</v>
      </c>
      <c r="AY16" s="52">
        <v>27000</v>
      </c>
      <c r="AZ16" s="53">
        <v>1800</v>
      </c>
      <c r="BA16" s="53">
        <v>2000</v>
      </c>
      <c r="BB16" s="53">
        <v>600</v>
      </c>
      <c r="BC16" s="54">
        <v>600</v>
      </c>
      <c r="BD16" s="55">
        <v>10000</v>
      </c>
      <c r="BE16" s="56">
        <v>5000</v>
      </c>
      <c r="BF16" s="37">
        <v>47000</v>
      </c>
    </row>
    <row r="17" spans="1:58">
      <c r="A17" s="38" t="s">
        <v>41</v>
      </c>
      <c r="B17" s="39">
        <v>417802</v>
      </c>
      <c r="C17" s="40">
        <v>445127.02881300001</v>
      </c>
      <c r="D17" s="41">
        <v>106.5401862157194</v>
      </c>
      <c r="E17" s="40">
        <v>14</v>
      </c>
      <c r="F17" s="42">
        <v>13.049999999999995</v>
      </c>
      <c r="G17" s="40">
        <v>5</v>
      </c>
      <c r="H17" s="42">
        <v>14.399999999999999</v>
      </c>
      <c r="I17" s="43">
        <v>13.724999999999998</v>
      </c>
      <c r="J17" s="44">
        <v>87804</v>
      </c>
      <c r="K17" s="40">
        <v>90489.224568999998</v>
      </c>
      <c r="L17" s="41">
        <v>103.05820300783563</v>
      </c>
      <c r="M17" s="40">
        <v>12</v>
      </c>
      <c r="N17" s="42">
        <v>13.349999999999996</v>
      </c>
      <c r="O17" s="40">
        <v>3</v>
      </c>
      <c r="P17" s="42">
        <v>14.7</v>
      </c>
      <c r="Q17" s="45">
        <v>14.024999999999999</v>
      </c>
      <c r="R17" s="46">
        <v>19.994300000000003</v>
      </c>
      <c r="S17" s="40">
        <v>3</v>
      </c>
      <c r="T17" s="43">
        <v>19.600000000000001</v>
      </c>
      <c r="U17" s="44">
        <v>13663</v>
      </c>
      <c r="V17" s="40">
        <v>13459</v>
      </c>
      <c r="W17" s="41">
        <v>98.506916489789944</v>
      </c>
      <c r="X17" s="40">
        <v>2</v>
      </c>
      <c r="Y17" s="42">
        <v>14.85</v>
      </c>
      <c r="Z17" s="40">
        <v>2</v>
      </c>
      <c r="AA17" s="42">
        <v>14.85</v>
      </c>
      <c r="AB17" s="45">
        <v>14.85</v>
      </c>
      <c r="AC17" s="44">
        <v>7927</v>
      </c>
      <c r="AD17" s="40">
        <v>7029</v>
      </c>
      <c r="AE17" s="41">
        <v>88.671628611076073</v>
      </c>
      <c r="AF17" s="20">
        <v>9</v>
      </c>
      <c r="AG17" s="22">
        <v>13.799999999999997</v>
      </c>
      <c r="AH17" s="40">
        <v>2</v>
      </c>
      <c r="AI17" s="42">
        <v>14.85</v>
      </c>
      <c r="AJ17" s="25">
        <v>14.324999999999999</v>
      </c>
      <c r="AK17" s="47">
        <v>43573.167673293116</v>
      </c>
      <c r="AL17" s="40">
        <v>28552.09</v>
      </c>
      <c r="AM17" s="41">
        <v>65.526771461924625</v>
      </c>
      <c r="AN17" s="40">
        <v>16</v>
      </c>
      <c r="AO17" s="42">
        <v>8.5</v>
      </c>
      <c r="AP17" s="40">
        <v>7</v>
      </c>
      <c r="AQ17" s="42">
        <v>9.4000000000000021</v>
      </c>
      <c r="AR17" s="23">
        <v>8.9500000000000011</v>
      </c>
      <c r="AS17" s="48">
        <v>7.1950526974821347</v>
      </c>
      <c r="AT17" s="40">
        <v>10</v>
      </c>
      <c r="AU17" s="45">
        <v>9.1000000000000032</v>
      </c>
      <c r="AV17" s="29">
        <f t="shared" si="0"/>
        <v>94.575000000000003</v>
      </c>
      <c r="AW17" s="30">
        <f t="shared" si="1"/>
        <v>1</v>
      </c>
      <c r="AX17" s="51">
        <v>16</v>
      </c>
      <c r="AY17" s="52">
        <v>33000</v>
      </c>
      <c r="AZ17" s="53">
        <v>3000</v>
      </c>
      <c r="BA17" s="53">
        <v>3200</v>
      </c>
      <c r="BB17" s="53">
        <v>850</v>
      </c>
      <c r="BC17" s="54">
        <v>1200</v>
      </c>
      <c r="BD17" s="55">
        <v>18000</v>
      </c>
      <c r="BE17" s="56">
        <v>10000</v>
      </c>
      <c r="BF17" s="37">
        <v>69200</v>
      </c>
    </row>
    <row r="18" spans="1:58">
      <c r="A18" s="38" t="s">
        <v>42</v>
      </c>
      <c r="B18" s="39">
        <v>313023</v>
      </c>
      <c r="C18" s="40">
        <v>324221.037381</v>
      </c>
      <c r="D18" s="41">
        <v>103.57738485063398</v>
      </c>
      <c r="E18" s="40">
        <v>21</v>
      </c>
      <c r="F18" s="42">
        <v>11.999999999999993</v>
      </c>
      <c r="G18" s="40">
        <v>9</v>
      </c>
      <c r="H18" s="42">
        <v>13.799999999999997</v>
      </c>
      <c r="I18" s="43">
        <v>12.899999999999995</v>
      </c>
      <c r="J18" s="44">
        <v>75810</v>
      </c>
      <c r="K18" s="40">
        <v>77571.460693000001</v>
      </c>
      <c r="L18" s="41">
        <v>102.32352023875478</v>
      </c>
      <c r="M18" s="40">
        <v>15</v>
      </c>
      <c r="N18" s="42">
        <v>12.899999999999995</v>
      </c>
      <c r="O18" s="40">
        <v>7</v>
      </c>
      <c r="P18" s="42">
        <v>14.099999999999998</v>
      </c>
      <c r="Q18" s="45">
        <v>13.499999999999996</v>
      </c>
      <c r="R18" s="46">
        <v>19.950000000000003</v>
      </c>
      <c r="S18" s="40">
        <v>19</v>
      </c>
      <c r="T18" s="43">
        <v>16.400000000000013</v>
      </c>
      <c r="U18" s="44">
        <v>13020</v>
      </c>
      <c r="V18" s="40">
        <v>12436</v>
      </c>
      <c r="W18" s="41">
        <v>95.514592933947782</v>
      </c>
      <c r="X18" s="40">
        <v>15</v>
      </c>
      <c r="Y18" s="42">
        <v>12.899999999999995</v>
      </c>
      <c r="Z18" s="40">
        <v>3</v>
      </c>
      <c r="AA18" s="42">
        <v>14.7</v>
      </c>
      <c r="AB18" s="45">
        <v>13.799999999999997</v>
      </c>
      <c r="AC18" s="44">
        <v>6941</v>
      </c>
      <c r="AD18" s="40">
        <v>5475</v>
      </c>
      <c r="AE18" s="41">
        <v>78.879124045526581</v>
      </c>
      <c r="AF18" s="20">
        <v>20</v>
      </c>
      <c r="AG18" s="22">
        <v>12.149999999999993</v>
      </c>
      <c r="AH18" s="40">
        <v>5</v>
      </c>
      <c r="AI18" s="42">
        <v>14.399999999999999</v>
      </c>
      <c r="AJ18" s="25">
        <v>13.274999999999995</v>
      </c>
      <c r="AK18" s="47">
        <v>30705.274891705791</v>
      </c>
      <c r="AL18" s="40">
        <v>20427.48</v>
      </c>
      <c r="AM18" s="41">
        <v>66.527591992078001</v>
      </c>
      <c r="AN18" s="40">
        <v>11</v>
      </c>
      <c r="AO18" s="42">
        <v>9.0000000000000036</v>
      </c>
      <c r="AP18" s="40">
        <v>12</v>
      </c>
      <c r="AQ18" s="42">
        <v>8.9000000000000039</v>
      </c>
      <c r="AR18" s="23">
        <v>8.9500000000000028</v>
      </c>
      <c r="AS18" s="48">
        <v>7.3320808948297955</v>
      </c>
      <c r="AT18" s="40">
        <v>2</v>
      </c>
      <c r="AU18" s="45">
        <v>9.9</v>
      </c>
      <c r="AV18" s="29">
        <f t="shared" si="0"/>
        <v>88.725000000000009</v>
      </c>
      <c r="AW18" s="30">
        <f t="shared" si="1"/>
        <v>13</v>
      </c>
      <c r="AX18" s="51">
        <v>14</v>
      </c>
      <c r="AY18" s="52">
        <v>27000</v>
      </c>
      <c r="AZ18" s="53">
        <v>3000</v>
      </c>
      <c r="BA18" s="53">
        <v>2800</v>
      </c>
      <c r="BB18" s="53">
        <v>700</v>
      </c>
      <c r="BC18" s="54">
        <v>600</v>
      </c>
      <c r="BD18" s="55">
        <v>10000</v>
      </c>
      <c r="BE18" s="56">
        <v>5000</v>
      </c>
      <c r="BF18" s="37">
        <v>49100</v>
      </c>
    </row>
    <row r="19" spans="1:58">
      <c r="A19" s="38" t="s">
        <v>43</v>
      </c>
      <c r="B19" s="39">
        <v>283652</v>
      </c>
      <c r="C19" s="40">
        <v>300503.047058</v>
      </c>
      <c r="D19" s="41">
        <v>105.94074678056209</v>
      </c>
      <c r="E19" s="40">
        <v>17</v>
      </c>
      <c r="F19" s="42">
        <v>12.599999999999994</v>
      </c>
      <c r="G19" s="40">
        <v>11</v>
      </c>
      <c r="H19" s="42">
        <v>13.499999999999996</v>
      </c>
      <c r="I19" s="43">
        <v>13.049999999999995</v>
      </c>
      <c r="J19" s="44">
        <v>44632</v>
      </c>
      <c r="K19" s="40">
        <v>46036.287956</v>
      </c>
      <c r="L19" s="41">
        <v>103.14637021867719</v>
      </c>
      <c r="M19" s="40">
        <v>11</v>
      </c>
      <c r="N19" s="42">
        <v>13.499999999999996</v>
      </c>
      <c r="O19" s="40">
        <v>15</v>
      </c>
      <c r="P19" s="42">
        <v>12.899999999999995</v>
      </c>
      <c r="Q19" s="45">
        <v>13.199999999999996</v>
      </c>
      <c r="R19" s="46">
        <v>19.968</v>
      </c>
      <c r="S19" s="40">
        <v>12</v>
      </c>
      <c r="T19" s="43">
        <v>17.800000000000008</v>
      </c>
      <c r="U19" s="44">
        <v>8014</v>
      </c>
      <c r="V19" s="40">
        <v>7368</v>
      </c>
      <c r="W19" s="41">
        <v>91.939106563513846</v>
      </c>
      <c r="X19" s="40">
        <v>20</v>
      </c>
      <c r="Y19" s="42">
        <v>12.149999999999993</v>
      </c>
      <c r="Z19" s="40">
        <v>13</v>
      </c>
      <c r="AA19" s="42">
        <v>13.199999999999996</v>
      </c>
      <c r="AB19" s="45">
        <v>12.674999999999994</v>
      </c>
      <c r="AC19" s="44">
        <v>4450</v>
      </c>
      <c r="AD19" s="40">
        <v>3117</v>
      </c>
      <c r="AE19" s="41">
        <v>70.044943820224717</v>
      </c>
      <c r="AF19" s="20">
        <v>23</v>
      </c>
      <c r="AG19" s="22">
        <v>11.699999999999992</v>
      </c>
      <c r="AH19" s="40">
        <v>18</v>
      </c>
      <c r="AI19" s="42">
        <v>12.449999999999994</v>
      </c>
      <c r="AJ19" s="25">
        <v>12.074999999999992</v>
      </c>
      <c r="AK19" s="47">
        <v>41808.627543525603</v>
      </c>
      <c r="AL19" s="40">
        <v>29795.9</v>
      </c>
      <c r="AM19" s="41">
        <v>71.267347795572718</v>
      </c>
      <c r="AN19" s="40">
        <v>3</v>
      </c>
      <c r="AO19" s="42">
        <v>9.8000000000000007</v>
      </c>
      <c r="AP19" s="40">
        <v>6</v>
      </c>
      <c r="AQ19" s="42">
        <v>9.5000000000000018</v>
      </c>
      <c r="AR19" s="23">
        <v>9.6500000000000021</v>
      </c>
      <c r="AS19" s="48">
        <v>6.7627551066399771</v>
      </c>
      <c r="AT19" s="40">
        <v>22</v>
      </c>
      <c r="AU19" s="45">
        <v>7.9</v>
      </c>
      <c r="AV19" s="29">
        <f t="shared" si="0"/>
        <v>86.35</v>
      </c>
      <c r="AW19" s="30">
        <f t="shared" si="1"/>
        <v>18</v>
      </c>
      <c r="AX19" s="51">
        <v>9</v>
      </c>
      <c r="AY19" s="52">
        <v>25000</v>
      </c>
      <c r="AZ19" s="53">
        <v>1800</v>
      </c>
      <c r="BA19" s="53">
        <v>2000</v>
      </c>
      <c r="BB19" s="53">
        <v>600</v>
      </c>
      <c r="BC19" s="54">
        <v>550</v>
      </c>
      <c r="BD19" s="55">
        <v>8000</v>
      </c>
      <c r="BE19" s="56">
        <v>4500</v>
      </c>
      <c r="BF19" s="37">
        <v>42400</v>
      </c>
    </row>
    <row r="20" spans="1:58">
      <c r="A20" s="38" t="s">
        <v>44</v>
      </c>
      <c r="B20" s="39">
        <v>235233</v>
      </c>
      <c r="C20" s="40">
        <v>249995.120065</v>
      </c>
      <c r="D20" s="41">
        <v>106.27553109682741</v>
      </c>
      <c r="E20" s="40">
        <v>15</v>
      </c>
      <c r="F20" s="42">
        <v>12.899999999999995</v>
      </c>
      <c r="G20" s="40">
        <v>17</v>
      </c>
      <c r="H20" s="42">
        <v>12.599999999999994</v>
      </c>
      <c r="I20" s="43">
        <v>12.749999999999995</v>
      </c>
      <c r="J20" s="44">
        <v>45481</v>
      </c>
      <c r="K20" s="40">
        <v>45728.475290000002</v>
      </c>
      <c r="L20" s="41">
        <v>100.54412895494822</v>
      </c>
      <c r="M20" s="40">
        <v>21</v>
      </c>
      <c r="N20" s="42">
        <v>11.999999999999993</v>
      </c>
      <c r="O20" s="40">
        <v>16</v>
      </c>
      <c r="P20" s="42">
        <v>12.749999999999995</v>
      </c>
      <c r="Q20" s="45">
        <v>12.374999999999993</v>
      </c>
      <c r="R20" s="46">
        <v>19.965800000000002</v>
      </c>
      <c r="S20" s="40">
        <v>13</v>
      </c>
      <c r="T20" s="43">
        <v>17.600000000000009</v>
      </c>
      <c r="U20" s="44">
        <v>6221</v>
      </c>
      <c r="V20" s="40">
        <v>5984</v>
      </c>
      <c r="W20" s="41">
        <v>96.190323099180191</v>
      </c>
      <c r="X20" s="40">
        <v>9</v>
      </c>
      <c r="Y20" s="42">
        <v>13.799999999999997</v>
      </c>
      <c r="Z20" s="40">
        <v>19</v>
      </c>
      <c r="AA20" s="42">
        <v>12.299999999999994</v>
      </c>
      <c r="AB20" s="45">
        <v>13.049999999999995</v>
      </c>
      <c r="AC20" s="44">
        <v>3902</v>
      </c>
      <c r="AD20" s="40">
        <v>3378</v>
      </c>
      <c r="AE20" s="41">
        <v>86.57098923628908</v>
      </c>
      <c r="AF20" s="20">
        <v>13</v>
      </c>
      <c r="AG20" s="22">
        <v>13.199999999999996</v>
      </c>
      <c r="AH20" s="40">
        <v>16</v>
      </c>
      <c r="AI20" s="42">
        <v>12.749999999999995</v>
      </c>
      <c r="AJ20" s="25">
        <v>12.974999999999994</v>
      </c>
      <c r="AK20" s="47">
        <v>24654.191237875955</v>
      </c>
      <c r="AL20" s="40">
        <v>16020.38</v>
      </c>
      <c r="AM20" s="41">
        <v>64.980350989522918</v>
      </c>
      <c r="AN20" s="40">
        <v>20</v>
      </c>
      <c r="AO20" s="42">
        <v>8.1</v>
      </c>
      <c r="AP20" s="40">
        <v>20</v>
      </c>
      <c r="AQ20" s="42">
        <v>8.1</v>
      </c>
      <c r="AR20" s="23">
        <v>8.1</v>
      </c>
      <c r="AS20" s="48">
        <v>6.7462827934985894</v>
      </c>
      <c r="AT20" s="40">
        <v>23</v>
      </c>
      <c r="AU20" s="45">
        <v>7.8</v>
      </c>
      <c r="AV20" s="29">
        <f t="shared" si="0"/>
        <v>84.649999999999977</v>
      </c>
      <c r="AW20" s="30">
        <f t="shared" si="1"/>
        <v>21</v>
      </c>
      <c r="AX20" s="51">
        <v>10</v>
      </c>
      <c r="AY20" s="52">
        <v>23000</v>
      </c>
      <c r="AZ20" s="53">
        <v>1900</v>
      </c>
      <c r="BA20" s="53">
        <v>2200</v>
      </c>
      <c r="BB20" s="53">
        <v>600</v>
      </c>
      <c r="BC20" s="54">
        <v>550</v>
      </c>
      <c r="BD20" s="55">
        <v>7000</v>
      </c>
      <c r="BE20" s="56">
        <v>4000</v>
      </c>
      <c r="BF20" s="37">
        <v>39100</v>
      </c>
    </row>
    <row r="21" spans="1:58">
      <c r="A21" s="38" t="s">
        <v>45</v>
      </c>
      <c r="B21" s="39">
        <v>136542</v>
      </c>
      <c r="C21" s="40">
        <v>151738.44518899999</v>
      </c>
      <c r="D21" s="41">
        <v>111.12950241610639</v>
      </c>
      <c r="E21" s="40">
        <v>6</v>
      </c>
      <c r="F21" s="42">
        <v>14.249999999999998</v>
      </c>
      <c r="G21" s="40">
        <v>23</v>
      </c>
      <c r="H21" s="42">
        <v>11.699999999999992</v>
      </c>
      <c r="I21" s="43">
        <v>12.974999999999994</v>
      </c>
      <c r="J21" s="44">
        <v>45129</v>
      </c>
      <c r="K21" s="40">
        <v>44943.262193000002</v>
      </c>
      <c r="L21" s="41">
        <v>99.588429154202402</v>
      </c>
      <c r="M21" s="40">
        <v>24</v>
      </c>
      <c r="N21" s="42">
        <v>11.549999999999992</v>
      </c>
      <c r="O21" s="40">
        <v>17</v>
      </c>
      <c r="P21" s="42">
        <v>12.599999999999994</v>
      </c>
      <c r="Q21" s="45">
        <v>12.074999999999992</v>
      </c>
      <c r="R21" s="46">
        <v>19.965800000000002</v>
      </c>
      <c r="S21" s="40">
        <v>13</v>
      </c>
      <c r="T21" s="43">
        <v>17.600000000000009</v>
      </c>
      <c r="U21" s="44">
        <v>7807</v>
      </c>
      <c r="V21" s="40">
        <v>7086</v>
      </c>
      <c r="W21" s="41">
        <v>90.764698347636738</v>
      </c>
      <c r="X21" s="40">
        <v>22</v>
      </c>
      <c r="Y21" s="42">
        <v>11.849999999999993</v>
      </c>
      <c r="Z21" s="40">
        <v>14</v>
      </c>
      <c r="AA21" s="42">
        <v>13.049999999999995</v>
      </c>
      <c r="AB21" s="45">
        <v>12.449999999999994</v>
      </c>
      <c r="AC21" s="44">
        <v>3938</v>
      </c>
      <c r="AD21" s="40">
        <v>2715</v>
      </c>
      <c r="AE21" s="41">
        <v>68.943626206196029</v>
      </c>
      <c r="AF21" s="20">
        <v>24</v>
      </c>
      <c r="AG21" s="22">
        <v>11.549999999999992</v>
      </c>
      <c r="AH21" s="40">
        <v>23</v>
      </c>
      <c r="AI21" s="42">
        <v>11.699999999999992</v>
      </c>
      <c r="AJ21" s="25">
        <v>11.624999999999993</v>
      </c>
      <c r="AK21" s="47">
        <v>14227.956130137785</v>
      </c>
      <c r="AL21" s="40">
        <v>9450.3799999999992</v>
      </c>
      <c r="AM21" s="41">
        <v>66.421205643037652</v>
      </c>
      <c r="AN21" s="40">
        <v>12</v>
      </c>
      <c r="AO21" s="42">
        <v>8.9000000000000039</v>
      </c>
      <c r="AP21" s="40">
        <v>23</v>
      </c>
      <c r="AQ21" s="42">
        <v>7.8</v>
      </c>
      <c r="AR21" s="23">
        <v>8.3500000000000014</v>
      </c>
      <c r="AS21" s="48">
        <v>6.9059875836032267</v>
      </c>
      <c r="AT21" s="40">
        <v>19</v>
      </c>
      <c r="AU21" s="45">
        <v>8.1999999999999993</v>
      </c>
      <c r="AV21" s="29">
        <f t="shared" si="0"/>
        <v>83.274999999999991</v>
      </c>
      <c r="AW21" s="30">
        <f t="shared" si="1"/>
        <v>24</v>
      </c>
      <c r="AX21" s="51">
        <v>6</v>
      </c>
      <c r="AY21" s="52">
        <v>23000</v>
      </c>
      <c r="AZ21" s="53">
        <v>1500</v>
      </c>
      <c r="BA21" s="53">
        <v>1500</v>
      </c>
      <c r="BB21" s="53">
        <v>500</v>
      </c>
      <c r="BC21" s="54">
        <v>500</v>
      </c>
      <c r="BD21" s="55">
        <v>7000</v>
      </c>
      <c r="BE21" s="56">
        <v>4000</v>
      </c>
      <c r="BF21" s="37">
        <v>37600</v>
      </c>
    </row>
    <row r="22" spans="1:58">
      <c r="A22" s="38" t="s">
        <v>46</v>
      </c>
      <c r="B22" s="39">
        <v>214468</v>
      </c>
      <c r="C22" s="40">
        <v>224448.34965300001</v>
      </c>
      <c r="D22" s="41">
        <v>104.65353789516386</v>
      </c>
      <c r="E22" s="40">
        <v>18</v>
      </c>
      <c r="F22" s="42">
        <v>12.449999999999994</v>
      </c>
      <c r="G22" s="40">
        <v>18</v>
      </c>
      <c r="H22" s="42">
        <v>12.449999999999994</v>
      </c>
      <c r="I22" s="43">
        <v>12.449999999999994</v>
      </c>
      <c r="J22" s="44">
        <v>40058</v>
      </c>
      <c r="K22" s="40">
        <v>39932.867910000001</v>
      </c>
      <c r="L22" s="41">
        <v>99.687622722053035</v>
      </c>
      <c r="M22" s="40">
        <v>22</v>
      </c>
      <c r="N22" s="42">
        <v>11.849999999999993</v>
      </c>
      <c r="O22" s="40">
        <v>18</v>
      </c>
      <c r="P22" s="42">
        <v>12.449999999999994</v>
      </c>
      <c r="Q22" s="45">
        <v>12.149999999999993</v>
      </c>
      <c r="R22" s="46">
        <v>19.965800000000002</v>
      </c>
      <c r="S22" s="40">
        <v>13</v>
      </c>
      <c r="T22" s="43">
        <v>17.600000000000009</v>
      </c>
      <c r="U22" s="44">
        <v>5848</v>
      </c>
      <c r="V22" s="40">
        <v>5642</v>
      </c>
      <c r="W22" s="41">
        <v>96.477428180574563</v>
      </c>
      <c r="X22" s="40">
        <v>6</v>
      </c>
      <c r="Y22" s="42">
        <v>14.249999999999998</v>
      </c>
      <c r="Z22" s="40">
        <v>20</v>
      </c>
      <c r="AA22" s="42">
        <v>12.149999999999993</v>
      </c>
      <c r="AB22" s="45">
        <v>13.199999999999996</v>
      </c>
      <c r="AC22" s="44">
        <v>3449</v>
      </c>
      <c r="AD22" s="40">
        <v>3072</v>
      </c>
      <c r="AE22" s="41">
        <v>89.069295447955923</v>
      </c>
      <c r="AF22" s="20">
        <v>7</v>
      </c>
      <c r="AG22" s="22">
        <v>14.099999999999998</v>
      </c>
      <c r="AH22" s="40">
        <v>19</v>
      </c>
      <c r="AI22" s="42">
        <v>12.299999999999994</v>
      </c>
      <c r="AJ22" s="25">
        <v>13.199999999999996</v>
      </c>
      <c r="AK22" s="47">
        <v>21063.26544771979</v>
      </c>
      <c r="AL22" s="40">
        <v>15050.44</v>
      </c>
      <c r="AM22" s="41">
        <v>71.453498211642639</v>
      </c>
      <c r="AN22" s="40">
        <v>2</v>
      </c>
      <c r="AO22" s="42">
        <v>9.9</v>
      </c>
      <c r="AP22" s="40">
        <v>21</v>
      </c>
      <c r="AQ22" s="42">
        <v>8</v>
      </c>
      <c r="AR22" s="23">
        <v>8.9499999999999993</v>
      </c>
      <c r="AS22" s="48">
        <v>6.8538240369339007</v>
      </c>
      <c r="AT22" s="40">
        <v>21</v>
      </c>
      <c r="AU22" s="45">
        <v>8</v>
      </c>
      <c r="AV22" s="29">
        <f t="shared" si="0"/>
        <v>85.55</v>
      </c>
      <c r="AW22" s="30">
        <f t="shared" si="1"/>
        <v>19</v>
      </c>
      <c r="AX22" s="51">
        <v>7</v>
      </c>
      <c r="AY22" s="52">
        <v>25000</v>
      </c>
      <c r="AZ22" s="53">
        <v>1566</v>
      </c>
      <c r="BA22" s="53">
        <v>1500</v>
      </c>
      <c r="BB22" s="53">
        <v>500</v>
      </c>
      <c r="BC22" s="54">
        <v>550</v>
      </c>
      <c r="BD22" s="55">
        <v>8000</v>
      </c>
      <c r="BE22" s="56">
        <v>4500</v>
      </c>
      <c r="BF22" s="37">
        <v>41550</v>
      </c>
    </row>
    <row r="23" spans="1:58">
      <c r="A23" s="38" t="s">
        <v>47</v>
      </c>
      <c r="B23" s="39">
        <v>290939</v>
      </c>
      <c r="C23" s="40">
        <v>297828.35026099999</v>
      </c>
      <c r="D23" s="41">
        <v>102.36797069523165</v>
      </c>
      <c r="E23" s="40">
        <v>22</v>
      </c>
      <c r="F23" s="42">
        <v>11.849999999999993</v>
      </c>
      <c r="G23" s="40">
        <v>12</v>
      </c>
      <c r="H23" s="42">
        <v>13.349999999999996</v>
      </c>
      <c r="I23" s="43">
        <v>12.599999999999994</v>
      </c>
      <c r="J23" s="44">
        <v>27673</v>
      </c>
      <c r="K23" s="40">
        <v>32018.715564999999</v>
      </c>
      <c r="L23" s="41">
        <v>115.70381080836916</v>
      </c>
      <c r="M23" s="40">
        <v>5</v>
      </c>
      <c r="N23" s="42">
        <v>14.399999999999999</v>
      </c>
      <c r="O23" s="40">
        <v>24</v>
      </c>
      <c r="P23" s="42">
        <v>11.549999999999992</v>
      </c>
      <c r="Q23" s="45">
        <v>12.974999999999994</v>
      </c>
      <c r="R23" s="46">
        <v>19.936</v>
      </c>
      <c r="S23" s="40">
        <v>23</v>
      </c>
      <c r="T23" s="43">
        <v>15.600000000000016</v>
      </c>
      <c r="U23" s="44">
        <v>6358</v>
      </c>
      <c r="V23" s="40">
        <v>6316</v>
      </c>
      <c r="W23" s="41">
        <v>99.339414910349163</v>
      </c>
      <c r="X23" s="40">
        <v>1</v>
      </c>
      <c r="Y23" s="42">
        <v>15</v>
      </c>
      <c r="Z23" s="40">
        <v>18</v>
      </c>
      <c r="AA23" s="42">
        <v>12.449999999999994</v>
      </c>
      <c r="AB23" s="45">
        <v>13.724999999999998</v>
      </c>
      <c r="AC23" s="44">
        <v>3390</v>
      </c>
      <c r="AD23" s="40">
        <v>3191</v>
      </c>
      <c r="AE23" s="41">
        <v>94.12979351032449</v>
      </c>
      <c r="AF23" s="20">
        <v>4</v>
      </c>
      <c r="AG23" s="22">
        <v>14.549999999999999</v>
      </c>
      <c r="AH23" s="40">
        <v>17</v>
      </c>
      <c r="AI23" s="42">
        <v>12.599999999999994</v>
      </c>
      <c r="AJ23" s="25">
        <v>13.574999999999996</v>
      </c>
      <c r="AK23" s="47">
        <v>53514.332545825477</v>
      </c>
      <c r="AL23" s="40">
        <v>35104.26</v>
      </c>
      <c r="AM23" s="41">
        <v>65.597865711843582</v>
      </c>
      <c r="AN23" s="40">
        <v>15</v>
      </c>
      <c r="AO23" s="42">
        <v>8.600000000000005</v>
      </c>
      <c r="AP23" s="40">
        <v>2</v>
      </c>
      <c r="AQ23" s="42">
        <v>9.9</v>
      </c>
      <c r="AR23" s="23">
        <v>9.2500000000000036</v>
      </c>
      <c r="AS23" s="48">
        <v>7.2095131577971454</v>
      </c>
      <c r="AT23" s="40">
        <v>8</v>
      </c>
      <c r="AU23" s="45">
        <v>9.3000000000000025</v>
      </c>
      <c r="AV23" s="29">
        <f t="shared" si="0"/>
        <v>87.024999999999991</v>
      </c>
      <c r="AW23" s="30">
        <f t="shared" si="1"/>
        <v>16</v>
      </c>
      <c r="AX23" s="51">
        <v>6</v>
      </c>
      <c r="AY23" s="52">
        <v>25000</v>
      </c>
      <c r="AZ23" s="53">
        <v>1500</v>
      </c>
      <c r="BA23" s="53">
        <v>1500</v>
      </c>
      <c r="BB23" s="53">
        <v>500</v>
      </c>
      <c r="BC23" s="54">
        <v>550</v>
      </c>
      <c r="BD23" s="55">
        <v>8000</v>
      </c>
      <c r="BE23" s="56">
        <v>4500</v>
      </c>
      <c r="BF23" s="37">
        <v>41150</v>
      </c>
    </row>
    <row r="24" spans="1:58">
      <c r="A24" s="38" t="s">
        <v>48</v>
      </c>
      <c r="B24" s="39">
        <v>131656</v>
      </c>
      <c r="C24" s="40">
        <v>143413.31129300001</v>
      </c>
      <c r="D24" s="41">
        <v>108.93032698319865</v>
      </c>
      <c r="E24" s="40">
        <v>12</v>
      </c>
      <c r="F24" s="42">
        <v>13.349999999999996</v>
      </c>
      <c r="G24" s="40">
        <v>24</v>
      </c>
      <c r="H24" s="42">
        <v>11.549999999999992</v>
      </c>
      <c r="I24" s="43">
        <v>12.449999999999994</v>
      </c>
      <c r="J24" s="44">
        <v>31530</v>
      </c>
      <c r="K24" s="40">
        <v>32493.931734999998</v>
      </c>
      <c r="L24" s="41">
        <v>103.05718913732952</v>
      </c>
      <c r="M24" s="40">
        <v>13</v>
      </c>
      <c r="N24" s="42">
        <v>13.199999999999996</v>
      </c>
      <c r="O24" s="40">
        <v>23</v>
      </c>
      <c r="P24" s="42">
        <v>11.699999999999992</v>
      </c>
      <c r="Q24" s="45">
        <v>12.449999999999994</v>
      </c>
      <c r="R24" s="46">
        <v>19.982900000000001</v>
      </c>
      <c r="S24" s="40">
        <v>6</v>
      </c>
      <c r="T24" s="43">
        <v>19.000000000000004</v>
      </c>
      <c r="U24" s="44">
        <v>6012</v>
      </c>
      <c r="V24" s="40">
        <v>5453</v>
      </c>
      <c r="W24" s="41">
        <v>90.701929474384571</v>
      </c>
      <c r="X24" s="40">
        <v>23</v>
      </c>
      <c r="Y24" s="42">
        <v>11.699999999999992</v>
      </c>
      <c r="Z24" s="40">
        <v>23</v>
      </c>
      <c r="AA24" s="42">
        <v>11.699999999999992</v>
      </c>
      <c r="AB24" s="45">
        <v>11.699999999999992</v>
      </c>
      <c r="AC24" s="44">
        <v>4055</v>
      </c>
      <c r="AD24" s="40">
        <v>2917</v>
      </c>
      <c r="AE24" s="41">
        <v>71.935881627620233</v>
      </c>
      <c r="AF24" s="20">
        <v>21</v>
      </c>
      <c r="AG24" s="22">
        <v>11.999999999999993</v>
      </c>
      <c r="AH24" s="40">
        <v>22</v>
      </c>
      <c r="AI24" s="42">
        <v>11.849999999999993</v>
      </c>
      <c r="AJ24" s="25">
        <v>11.924999999999994</v>
      </c>
      <c r="AK24" s="47">
        <v>24521.122861530526</v>
      </c>
      <c r="AL24" s="40">
        <v>16320.4</v>
      </c>
      <c r="AM24" s="41">
        <v>66.556495361816943</v>
      </c>
      <c r="AN24" s="40">
        <v>10</v>
      </c>
      <c r="AO24" s="42">
        <v>9.1000000000000032</v>
      </c>
      <c r="AP24" s="40">
        <v>19</v>
      </c>
      <c r="AQ24" s="42">
        <v>8.1999999999999993</v>
      </c>
      <c r="AR24" s="23">
        <v>8.6500000000000021</v>
      </c>
      <c r="AS24" s="48">
        <v>7.0926249806302657</v>
      </c>
      <c r="AT24" s="40">
        <v>12</v>
      </c>
      <c r="AU24" s="45">
        <v>8.9000000000000039</v>
      </c>
      <c r="AV24" s="29">
        <f t="shared" si="0"/>
        <v>85.074999999999989</v>
      </c>
      <c r="AW24" s="30">
        <f t="shared" si="1"/>
        <v>20</v>
      </c>
      <c r="AX24" s="51">
        <v>11</v>
      </c>
      <c r="AY24" s="52">
        <v>25000</v>
      </c>
      <c r="AZ24" s="53">
        <v>2000</v>
      </c>
      <c r="BA24" s="53">
        <v>2500</v>
      </c>
      <c r="BB24" s="53">
        <v>600</v>
      </c>
      <c r="BC24" s="54">
        <v>550</v>
      </c>
      <c r="BD24" s="55">
        <v>8000</v>
      </c>
      <c r="BE24" s="56">
        <v>4500</v>
      </c>
      <c r="BF24" s="37">
        <v>43150</v>
      </c>
    </row>
    <row r="25" spans="1:58">
      <c r="A25" s="38" t="s">
        <v>49</v>
      </c>
      <c r="B25" s="39">
        <v>337252</v>
      </c>
      <c r="C25" s="40">
        <v>376938.99452000001</v>
      </c>
      <c r="D25" s="41">
        <v>111.76775660930106</v>
      </c>
      <c r="E25" s="40">
        <v>5</v>
      </c>
      <c r="F25" s="42">
        <v>14.399999999999999</v>
      </c>
      <c r="G25" s="40">
        <v>6</v>
      </c>
      <c r="H25" s="42">
        <v>14.249999999999998</v>
      </c>
      <c r="I25" s="43">
        <v>14.324999999999999</v>
      </c>
      <c r="J25" s="44">
        <v>75695</v>
      </c>
      <c r="K25" s="40">
        <v>76901.198606999998</v>
      </c>
      <c r="L25" s="41">
        <v>101.59349839091088</v>
      </c>
      <c r="M25" s="40">
        <v>17</v>
      </c>
      <c r="N25" s="42">
        <v>12.599999999999994</v>
      </c>
      <c r="O25" s="40">
        <v>8</v>
      </c>
      <c r="P25" s="42">
        <v>13.949999999999998</v>
      </c>
      <c r="Q25" s="45">
        <v>13.274999999999995</v>
      </c>
      <c r="R25" s="46">
        <v>19.95</v>
      </c>
      <c r="S25" s="40">
        <v>20</v>
      </c>
      <c r="T25" s="43">
        <v>16.200000000000014</v>
      </c>
      <c r="U25" s="44">
        <v>8979</v>
      </c>
      <c r="V25" s="40">
        <v>8618</v>
      </c>
      <c r="W25" s="41">
        <v>95.97950774028287</v>
      </c>
      <c r="X25" s="40">
        <v>11</v>
      </c>
      <c r="Y25" s="42">
        <v>13.499999999999996</v>
      </c>
      <c r="Z25" s="40">
        <v>8</v>
      </c>
      <c r="AA25" s="42">
        <v>13.949999999999998</v>
      </c>
      <c r="AB25" s="45">
        <v>13.724999999999998</v>
      </c>
      <c r="AC25" s="44">
        <v>6075.9999999999991</v>
      </c>
      <c r="AD25" s="40">
        <v>5088</v>
      </c>
      <c r="AE25" s="41">
        <v>83.739302172481914</v>
      </c>
      <c r="AF25" s="20">
        <v>15</v>
      </c>
      <c r="AG25" s="22">
        <v>12.899999999999995</v>
      </c>
      <c r="AH25" s="40">
        <v>6</v>
      </c>
      <c r="AI25" s="42">
        <v>14.249999999999998</v>
      </c>
      <c r="AJ25" s="25">
        <v>13.574999999999996</v>
      </c>
      <c r="AK25" s="47">
        <v>37181.198470123221</v>
      </c>
      <c r="AL25" s="40">
        <v>27369.88</v>
      </c>
      <c r="AM25" s="41">
        <v>73.612151103716954</v>
      </c>
      <c r="AN25" s="40">
        <v>1</v>
      </c>
      <c r="AO25" s="42">
        <v>10</v>
      </c>
      <c r="AP25" s="40">
        <v>8</v>
      </c>
      <c r="AQ25" s="42">
        <v>9.3000000000000025</v>
      </c>
      <c r="AR25" s="23">
        <v>9.6500000000000021</v>
      </c>
      <c r="AS25" s="48">
        <v>7.2000122335653618</v>
      </c>
      <c r="AT25" s="40">
        <v>9</v>
      </c>
      <c r="AU25" s="45">
        <v>9.2000000000000028</v>
      </c>
      <c r="AV25" s="29">
        <f t="shared" si="0"/>
        <v>89.95</v>
      </c>
      <c r="AW25" s="30">
        <f t="shared" si="1"/>
        <v>11</v>
      </c>
      <c r="AX25" s="51">
        <v>19</v>
      </c>
      <c r="AY25" s="52">
        <v>30000</v>
      </c>
      <c r="AZ25" s="53">
        <v>3300</v>
      </c>
      <c r="BA25" s="53">
        <v>3200</v>
      </c>
      <c r="BB25" s="53">
        <v>900</v>
      </c>
      <c r="BC25" s="54">
        <v>600</v>
      </c>
      <c r="BD25" s="55">
        <v>12000</v>
      </c>
      <c r="BE25" s="56">
        <v>6000</v>
      </c>
      <c r="BF25" s="37">
        <v>56450</v>
      </c>
    </row>
    <row r="26" spans="1:58">
      <c r="A26" s="38" t="s">
        <v>50</v>
      </c>
      <c r="B26" s="39">
        <v>178878</v>
      </c>
      <c r="C26" s="40">
        <v>195598.574849</v>
      </c>
      <c r="D26" s="41">
        <v>109.34747417178188</v>
      </c>
      <c r="E26" s="40">
        <v>10</v>
      </c>
      <c r="F26" s="42">
        <v>13.649999999999997</v>
      </c>
      <c r="G26" s="40">
        <v>20</v>
      </c>
      <c r="H26" s="42">
        <v>12.149999999999993</v>
      </c>
      <c r="I26" s="43">
        <v>12.899999999999995</v>
      </c>
      <c r="J26" s="44">
        <v>36886</v>
      </c>
      <c r="K26" s="40">
        <v>37121.645983000002</v>
      </c>
      <c r="L26" s="41">
        <v>100.63884938187931</v>
      </c>
      <c r="M26" s="40">
        <v>20</v>
      </c>
      <c r="N26" s="42">
        <v>12.149999999999993</v>
      </c>
      <c r="O26" s="40">
        <v>21</v>
      </c>
      <c r="P26" s="42">
        <v>11.999999999999993</v>
      </c>
      <c r="Q26" s="45">
        <v>12.074999999999992</v>
      </c>
      <c r="R26" s="46">
        <v>19.920000000000002</v>
      </c>
      <c r="S26" s="40">
        <v>24</v>
      </c>
      <c r="T26" s="43">
        <v>15.400000000000016</v>
      </c>
      <c r="U26" s="44">
        <v>7770</v>
      </c>
      <c r="V26" s="40">
        <v>7607</v>
      </c>
      <c r="W26" s="41">
        <v>97.902187902187904</v>
      </c>
      <c r="X26" s="40">
        <v>4</v>
      </c>
      <c r="Y26" s="42">
        <v>14.549999999999999</v>
      </c>
      <c r="Z26" s="40">
        <v>12</v>
      </c>
      <c r="AA26" s="42">
        <v>13.349999999999996</v>
      </c>
      <c r="AB26" s="45">
        <v>13.949999999999998</v>
      </c>
      <c r="AC26" s="44">
        <v>3939</v>
      </c>
      <c r="AD26" s="40">
        <v>3395</v>
      </c>
      <c r="AE26" s="41">
        <v>86.189388169586195</v>
      </c>
      <c r="AF26" s="20">
        <v>14</v>
      </c>
      <c r="AG26" s="22">
        <v>13.049999999999995</v>
      </c>
      <c r="AH26" s="40">
        <v>15</v>
      </c>
      <c r="AI26" s="42">
        <v>12.899999999999995</v>
      </c>
      <c r="AJ26" s="25">
        <v>12.974999999999994</v>
      </c>
      <c r="AK26" s="47">
        <v>30138.091502064362</v>
      </c>
      <c r="AL26" s="40">
        <v>19403.900000000001</v>
      </c>
      <c r="AM26" s="41">
        <v>64.383307080579058</v>
      </c>
      <c r="AN26" s="40">
        <v>22</v>
      </c>
      <c r="AO26" s="42">
        <v>7.9</v>
      </c>
      <c r="AP26" s="40">
        <v>14</v>
      </c>
      <c r="AQ26" s="42">
        <v>8.7000000000000046</v>
      </c>
      <c r="AR26" s="23">
        <v>8.3000000000000025</v>
      </c>
      <c r="AS26" s="48">
        <v>7.1206908854819577</v>
      </c>
      <c r="AT26" s="40">
        <v>11</v>
      </c>
      <c r="AU26" s="45">
        <v>9.0000000000000036</v>
      </c>
      <c r="AV26" s="29">
        <f t="shared" si="0"/>
        <v>84.59999999999998</v>
      </c>
      <c r="AW26" s="30">
        <f t="shared" si="1"/>
        <v>22</v>
      </c>
      <c r="AX26" s="51">
        <v>9</v>
      </c>
      <c r="AY26" s="52">
        <v>23000</v>
      </c>
      <c r="AZ26" s="53">
        <v>1800</v>
      </c>
      <c r="BA26" s="53">
        <v>2000</v>
      </c>
      <c r="BB26" s="53">
        <v>600</v>
      </c>
      <c r="BC26" s="54">
        <v>500</v>
      </c>
      <c r="BD26" s="55">
        <v>7000</v>
      </c>
      <c r="BE26" s="56">
        <v>4000</v>
      </c>
      <c r="BF26" s="37">
        <v>38850</v>
      </c>
    </row>
    <row r="27" spans="1:58">
      <c r="A27" s="38" t="s">
        <v>51</v>
      </c>
      <c r="B27" s="39">
        <v>170583</v>
      </c>
      <c r="C27" s="40">
        <v>199934.67206000001</v>
      </c>
      <c r="D27" s="41">
        <v>117.20668065399249</v>
      </c>
      <c r="E27" s="40">
        <v>2</v>
      </c>
      <c r="F27" s="42">
        <v>14.85</v>
      </c>
      <c r="G27" s="40">
        <v>19</v>
      </c>
      <c r="H27" s="42">
        <v>12.299999999999994</v>
      </c>
      <c r="I27" s="43">
        <v>13.574999999999996</v>
      </c>
      <c r="J27" s="44">
        <v>43871</v>
      </c>
      <c r="K27" s="40">
        <v>47685.519517000001</v>
      </c>
      <c r="L27" s="41">
        <v>108.69485427047481</v>
      </c>
      <c r="M27" s="40">
        <v>6</v>
      </c>
      <c r="N27" s="42">
        <v>14.249999999999998</v>
      </c>
      <c r="O27" s="40">
        <v>14</v>
      </c>
      <c r="P27" s="42">
        <v>13.049999999999995</v>
      </c>
      <c r="Q27" s="45">
        <v>13.649999999999997</v>
      </c>
      <c r="R27" s="46">
        <v>19.982900000000001</v>
      </c>
      <c r="S27" s="40">
        <v>6</v>
      </c>
      <c r="T27" s="43">
        <v>19.000000000000004</v>
      </c>
      <c r="U27" s="44">
        <v>7383</v>
      </c>
      <c r="V27" s="40">
        <v>7053</v>
      </c>
      <c r="W27" s="41">
        <v>95.530272247054043</v>
      </c>
      <c r="X27" s="40">
        <v>14</v>
      </c>
      <c r="Y27" s="42">
        <v>13.049999999999995</v>
      </c>
      <c r="Z27" s="40">
        <v>15</v>
      </c>
      <c r="AA27" s="42">
        <v>12.899999999999995</v>
      </c>
      <c r="AB27" s="45">
        <v>12.974999999999994</v>
      </c>
      <c r="AC27" s="44">
        <v>4996</v>
      </c>
      <c r="AD27" s="40">
        <v>3976</v>
      </c>
      <c r="AE27" s="41">
        <v>79.583666933546837</v>
      </c>
      <c r="AF27" s="20">
        <v>19</v>
      </c>
      <c r="AG27" s="22">
        <v>12.299999999999994</v>
      </c>
      <c r="AH27" s="40">
        <v>11</v>
      </c>
      <c r="AI27" s="42">
        <v>13.499999999999996</v>
      </c>
      <c r="AJ27" s="25">
        <v>12.899999999999995</v>
      </c>
      <c r="AK27" s="47">
        <v>37654.929379704903</v>
      </c>
      <c r="AL27" s="40">
        <v>25795.42</v>
      </c>
      <c r="AM27" s="41">
        <v>68.504762656395016</v>
      </c>
      <c r="AN27" s="40">
        <v>7</v>
      </c>
      <c r="AO27" s="42">
        <v>9.4000000000000021</v>
      </c>
      <c r="AP27" s="40">
        <v>10</v>
      </c>
      <c r="AQ27" s="42">
        <v>9.1000000000000032</v>
      </c>
      <c r="AR27" s="23">
        <v>9.2500000000000036</v>
      </c>
      <c r="AS27" s="48">
        <v>7.2644227577507809</v>
      </c>
      <c r="AT27" s="40">
        <v>3</v>
      </c>
      <c r="AU27" s="45">
        <v>9.8000000000000007</v>
      </c>
      <c r="AV27" s="29">
        <f t="shared" si="0"/>
        <v>91.149999999999977</v>
      </c>
      <c r="AW27" s="30">
        <f t="shared" si="1"/>
        <v>5</v>
      </c>
      <c r="AX27" s="51">
        <v>17</v>
      </c>
      <c r="AY27" s="52">
        <v>33000</v>
      </c>
      <c r="AZ27" s="53">
        <v>3000</v>
      </c>
      <c r="BA27" s="53">
        <v>3200</v>
      </c>
      <c r="BB27" s="53">
        <v>900</v>
      </c>
      <c r="BC27" s="54">
        <v>850</v>
      </c>
      <c r="BD27" s="55">
        <v>15000</v>
      </c>
      <c r="BE27" s="56">
        <v>7000</v>
      </c>
      <c r="BF27" s="37">
        <v>63200</v>
      </c>
    </row>
    <row r="28" spans="1:58">
      <c r="A28" s="38" t="s">
        <v>52</v>
      </c>
      <c r="B28" s="39">
        <v>150081</v>
      </c>
      <c r="C28" s="40">
        <v>173161.91692399999</v>
      </c>
      <c r="D28" s="41">
        <v>115.37897330374931</v>
      </c>
      <c r="E28" s="40">
        <v>3</v>
      </c>
      <c r="F28" s="42">
        <v>14.7</v>
      </c>
      <c r="G28" s="40">
        <v>21</v>
      </c>
      <c r="H28" s="42">
        <v>11.999999999999993</v>
      </c>
      <c r="I28" s="43">
        <v>13.349999999999996</v>
      </c>
      <c r="J28" s="44">
        <v>38210</v>
      </c>
      <c r="K28" s="40">
        <v>38061.406007999998</v>
      </c>
      <c r="L28" s="41">
        <v>99.611112295210674</v>
      </c>
      <c r="M28" s="40">
        <v>23</v>
      </c>
      <c r="N28" s="42">
        <v>11.699999999999992</v>
      </c>
      <c r="O28" s="40">
        <v>20</v>
      </c>
      <c r="P28" s="42">
        <v>12.149999999999993</v>
      </c>
      <c r="Q28" s="45">
        <v>11.924999999999994</v>
      </c>
      <c r="R28" s="46">
        <v>19.960100000000001</v>
      </c>
      <c r="S28" s="40">
        <v>16</v>
      </c>
      <c r="T28" s="43">
        <v>17.000000000000011</v>
      </c>
      <c r="U28" s="44">
        <v>5919</v>
      </c>
      <c r="V28" s="40">
        <v>5597</v>
      </c>
      <c r="W28" s="41">
        <v>94.559891873627308</v>
      </c>
      <c r="X28" s="40">
        <v>18</v>
      </c>
      <c r="Y28" s="42">
        <v>12.449999999999994</v>
      </c>
      <c r="Z28" s="40">
        <v>22</v>
      </c>
      <c r="AA28" s="42">
        <v>11.849999999999993</v>
      </c>
      <c r="AB28" s="45">
        <v>12.149999999999993</v>
      </c>
      <c r="AC28" s="44">
        <v>3910.0000000000005</v>
      </c>
      <c r="AD28" s="40">
        <v>3894</v>
      </c>
      <c r="AE28" s="41">
        <v>99.590792838874677</v>
      </c>
      <c r="AF28" s="20">
        <v>2</v>
      </c>
      <c r="AG28" s="22">
        <v>14.85</v>
      </c>
      <c r="AH28" s="40">
        <v>12</v>
      </c>
      <c r="AI28" s="42">
        <v>13.349999999999996</v>
      </c>
      <c r="AJ28" s="25">
        <v>14.099999999999998</v>
      </c>
      <c r="AK28" s="47">
        <v>38785.004004513568</v>
      </c>
      <c r="AL28" s="40">
        <v>27059.040000000001</v>
      </c>
      <c r="AM28" s="41">
        <v>69.766758298777091</v>
      </c>
      <c r="AN28" s="40">
        <v>6</v>
      </c>
      <c r="AO28" s="42">
        <v>9.5000000000000018</v>
      </c>
      <c r="AP28" s="40">
        <v>9</v>
      </c>
      <c r="AQ28" s="42">
        <v>9.2000000000000028</v>
      </c>
      <c r="AR28" s="23">
        <v>9.3500000000000014</v>
      </c>
      <c r="AS28" s="48">
        <v>7.263989871054517</v>
      </c>
      <c r="AT28" s="40">
        <v>4</v>
      </c>
      <c r="AU28" s="45">
        <v>9.7000000000000011</v>
      </c>
      <c r="AV28" s="29">
        <f t="shared" si="0"/>
        <v>87.575000000000003</v>
      </c>
      <c r="AW28" s="30">
        <f t="shared" si="1"/>
        <v>14</v>
      </c>
      <c r="AX28" s="51">
        <v>15</v>
      </c>
      <c r="AY28" s="52">
        <v>27000</v>
      </c>
      <c r="AZ28" s="53">
        <v>3000</v>
      </c>
      <c r="BA28" s="53">
        <v>3200</v>
      </c>
      <c r="BB28" s="53">
        <v>850</v>
      </c>
      <c r="BC28" s="54">
        <v>600</v>
      </c>
      <c r="BD28" s="55">
        <v>10000</v>
      </c>
      <c r="BE28" s="56">
        <v>5000</v>
      </c>
      <c r="BF28" s="37">
        <v>49600</v>
      </c>
    </row>
    <row r="29" spans="1:58">
      <c r="A29" s="57" t="s">
        <v>53</v>
      </c>
      <c r="B29" s="39">
        <v>143277</v>
      </c>
      <c r="C29" s="40">
        <v>154356.01878799999</v>
      </c>
      <c r="D29" s="41">
        <v>107.73258707817723</v>
      </c>
      <c r="E29" s="40">
        <v>14</v>
      </c>
      <c r="F29" s="42">
        <v>13.049999999999995</v>
      </c>
      <c r="G29" s="40">
        <v>23</v>
      </c>
      <c r="H29" s="42">
        <v>11.699999999999992</v>
      </c>
      <c r="I29" s="43">
        <v>12.374999999999993</v>
      </c>
      <c r="J29" s="44">
        <v>34208</v>
      </c>
      <c r="K29" s="40">
        <v>34325.872353999999</v>
      </c>
      <c r="L29" s="41">
        <v>100.34457540341441</v>
      </c>
      <c r="M29" s="40">
        <v>22</v>
      </c>
      <c r="N29" s="42">
        <v>11.849999999999993</v>
      </c>
      <c r="O29" s="40">
        <v>22</v>
      </c>
      <c r="P29" s="42">
        <v>11.849999999999993</v>
      </c>
      <c r="Q29" s="45">
        <v>11.849999999999993</v>
      </c>
      <c r="R29" s="46">
        <v>19.942999999999998</v>
      </c>
      <c r="S29" s="40">
        <v>23</v>
      </c>
      <c r="T29" s="43">
        <v>15.600000000000016</v>
      </c>
      <c r="U29" s="44">
        <v>4825</v>
      </c>
      <c r="V29" s="40">
        <v>4646</v>
      </c>
      <c r="W29" s="41">
        <v>96.290155440414509</v>
      </c>
      <c r="X29" s="40">
        <v>9</v>
      </c>
      <c r="Y29" s="42">
        <v>13.799999999999997</v>
      </c>
      <c r="Z29" s="40">
        <v>25</v>
      </c>
      <c r="AA29" s="42">
        <v>11.399999999999991</v>
      </c>
      <c r="AB29" s="45">
        <v>12.599999999999994</v>
      </c>
      <c r="AC29" s="44">
        <v>3164</v>
      </c>
      <c r="AD29" s="40">
        <v>2952</v>
      </c>
      <c r="AE29" s="41">
        <v>93.299620733249057</v>
      </c>
      <c r="AF29" s="20">
        <v>5</v>
      </c>
      <c r="AG29" s="22">
        <v>14.399999999999999</v>
      </c>
      <c r="AH29" s="40">
        <v>22</v>
      </c>
      <c r="AI29" s="42">
        <v>11.849999999999993</v>
      </c>
      <c r="AJ29" s="25">
        <v>13.124999999999996</v>
      </c>
      <c r="AK29" s="47">
        <v>34030.552704871079</v>
      </c>
      <c r="AL29" s="40">
        <v>20380.02</v>
      </c>
      <c r="AM29" s="41">
        <v>59.887419921577809</v>
      </c>
      <c r="AN29" s="40">
        <v>25</v>
      </c>
      <c r="AO29" s="42">
        <v>7.6</v>
      </c>
      <c r="AP29" s="40">
        <v>13</v>
      </c>
      <c r="AQ29" s="42">
        <v>8.8000000000000043</v>
      </c>
      <c r="AR29" s="23">
        <v>8.2000000000000028</v>
      </c>
      <c r="AS29" s="48">
        <v>6.9264529819036866</v>
      </c>
      <c r="AT29" s="40">
        <v>19</v>
      </c>
      <c r="AU29" s="45">
        <v>8.1999999999999993</v>
      </c>
      <c r="AV29" s="29">
        <f t="shared" si="0"/>
        <v>81.95</v>
      </c>
      <c r="AW29" s="30">
        <f t="shared" si="1"/>
        <v>25</v>
      </c>
      <c r="AX29" s="59">
        <v>8</v>
      </c>
      <c r="AY29" s="60">
        <v>23000</v>
      </c>
      <c r="AZ29" s="61">
        <v>1800</v>
      </c>
      <c r="BA29" s="61">
        <v>1800</v>
      </c>
      <c r="BB29" s="61">
        <v>500</v>
      </c>
      <c r="BC29" s="62">
        <v>500</v>
      </c>
      <c r="BD29" s="63">
        <v>7000</v>
      </c>
      <c r="BE29" s="64">
        <v>4000</v>
      </c>
      <c r="BF29" s="37">
        <v>38500</v>
      </c>
    </row>
    <row r="30" spans="1:58">
      <c r="A30" s="38" t="s">
        <v>54</v>
      </c>
      <c r="B30" s="39">
        <v>105053</v>
      </c>
      <c r="C30" s="40">
        <v>118123.926376</v>
      </c>
      <c r="D30" s="41">
        <v>112.44222095132933</v>
      </c>
      <c r="E30" s="40">
        <v>5</v>
      </c>
      <c r="F30" s="42">
        <v>14.399999999999999</v>
      </c>
      <c r="G30" s="40">
        <v>3</v>
      </c>
      <c r="H30" s="42">
        <v>14.7</v>
      </c>
      <c r="I30" s="43">
        <v>14.549999999999999</v>
      </c>
      <c r="J30" s="44">
        <v>32398</v>
      </c>
      <c r="K30" s="40">
        <v>31358.895465000001</v>
      </c>
      <c r="L30" s="41">
        <v>96.7926892555096</v>
      </c>
      <c r="M30" s="40">
        <v>13</v>
      </c>
      <c r="N30" s="42">
        <v>13.199999999999996</v>
      </c>
      <c r="O30" s="40">
        <v>1</v>
      </c>
      <c r="P30" s="42">
        <v>15</v>
      </c>
      <c r="Q30" s="45">
        <v>14.099999999999998</v>
      </c>
      <c r="R30" s="46">
        <v>19.994300000000003</v>
      </c>
      <c r="S30" s="40">
        <v>1</v>
      </c>
      <c r="T30" s="43">
        <v>20</v>
      </c>
      <c r="U30" s="44">
        <v>3899</v>
      </c>
      <c r="V30" s="40">
        <v>3756</v>
      </c>
      <c r="W30" s="41">
        <v>96.332392921261857</v>
      </c>
      <c r="X30" s="40">
        <v>4</v>
      </c>
      <c r="Y30" s="42">
        <v>14.549999999999999</v>
      </c>
      <c r="Z30" s="40">
        <v>3</v>
      </c>
      <c r="AA30" s="42">
        <v>14.7</v>
      </c>
      <c r="AB30" s="45">
        <v>14.625</v>
      </c>
      <c r="AC30" s="44">
        <v>2704</v>
      </c>
      <c r="AD30" s="40">
        <v>2143</v>
      </c>
      <c r="AE30" s="41">
        <v>79.252958579881664</v>
      </c>
      <c r="AF30" s="40">
        <v>10</v>
      </c>
      <c r="AG30" s="42">
        <v>13.649999999999997</v>
      </c>
      <c r="AH30" s="40">
        <v>3</v>
      </c>
      <c r="AI30" s="42">
        <v>14.7</v>
      </c>
      <c r="AJ30" s="45">
        <v>14.174999999999997</v>
      </c>
      <c r="AK30" s="47">
        <v>18542.680028112132</v>
      </c>
      <c r="AL30" s="40">
        <v>14658.54</v>
      </c>
      <c r="AM30" s="41">
        <v>79.052973883907413</v>
      </c>
      <c r="AN30" s="40">
        <v>5</v>
      </c>
      <c r="AO30" s="42">
        <v>9.6000000000000014</v>
      </c>
      <c r="AP30" s="40">
        <v>4</v>
      </c>
      <c r="AQ30" s="42">
        <v>9.7000000000000011</v>
      </c>
      <c r="AR30" s="23">
        <v>9.6500000000000021</v>
      </c>
      <c r="AS30" s="48">
        <v>7.3885970073093112</v>
      </c>
      <c r="AT30" s="40">
        <v>2</v>
      </c>
      <c r="AU30" s="45">
        <v>9.9</v>
      </c>
      <c r="AV30" s="29">
        <f t="shared" si="0"/>
        <v>97</v>
      </c>
      <c r="AW30" s="50">
        <f>RANK(AV30,$AV$30:$AV$43)</f>
        <v>1</v>
      </c>
      <c r="AX30" s="51">
        <v>12</v>
      </c>
      <c r="AY30" s="65">
        <v>25000</v>
      </c>
      <c r="AZ30" s="53">
        <v>1800</v>
      </c>
      <c r="BA30" s="61">
        <v>1700</v>
      </c>
      <c r="BB30" s="53">
        <v>500</v>
      </c>
      <c r="BC30" s="54">
        <v>800</v>
      </c>
      <c r="BD30" s="55">
        <v>12000</v>
      </c>
      <c r="BE30" s="56">
        <v>6000</v>
      </c>
      <c r="BF30" s="37">
        <v>48400</v>
      </c>
    </row>
    <row r="31" spans="1:58">
      <c r="A31" s="38" t="s">
        <v>55</v>
      </c>
      <c r="B31" s="39">
        <v>98907</v>
      </c>
      <c r="C31" s="40">
        <v>106269.006337</v>
      </c>
      <c r="D31" s="41">
        <v>107.44336228679465</v>
      </c>
      <c r="E31" s="40">
        <v>13</v>
      </c>
      <c r="F31" s="42">
        <v>13.199999999999996</v>
      </c>
      <c r="G31" s="40">
        <v>6</v>
      </c>
      <c r="H31" s="42">
        <v>14.249999999999998</v>
      </c>
      <c r="I31" s="43">
        <v>13.724999999999998</v>
      </c>
      <c r="J31" s="44">
        <v>20922</v>
      </c>
      <c r="K31" s="40">
        <v>21808.128938000002</v>
      </c>
      <c r="L31" s="41">
        <v>104.23539306949623</v>
      </c>
      <c r="M31" s="40">
        <v>5</v>
      </c>
      <c r="N31" s="42">
        <v>14.399999999999999</v>
      </c>
      <c r="O31" s="40">
        <v>6</v>
      </c>
      <c r="P31" s="42">
        <v>14.249999999999998</v>
      </c>
      <c r="Q31" s="45">
        <v>14.324999999999999</v>
      </c>
      <c r="R31" s="46">
        <v>19.971499999999999</v>
      </c>
      <c r="S31" s="40">
        <v>3</v>
      </c>
      <c r="T31" s="43">
        <v>19.600000000000001</v>
      </c>
      <c r="U31" s="44">
        <v>2589</v>
      </c>
      <c r="V31" s="40">
        <v>2223</v>
      </c>
      <c r="W31" s="41">
        <v>85.863267670915405</v>
      </c>
      <c r="X31" s="40">
        <v>14</v>
      </c>
      <c r="Y31" s="42">
        <v>13.049999999999995</v>
      </c>
      <c r="Z31" s="40">
        <v>12</v>
      </c>
      <c r="AA31" s="42">
        <v>13.349999999999996</v>
      </c>
      <c r="AB31" s="45">
        <v>13.199999999999996</v>
      </c>
      <c r="AC31" s="44">
        <v>1769</v>
      </c>
      <c r="AD31" s="40">
        <v>1153</v>
      </c>
      <c r="AE31" s="41">
        <v>65.17806670435273</v>
      </c>
      <c r="AF31" s="40">
        <v>13</v>
      </c>
      <c r="AG31" s="42">
        <v>13.199999999999996</v>
      </c>
      <c r="AH31" s="40">
        <v>11</v>
      </c>
      <c r="AI31" s="42">
        <v>13.499999999999996</v>
      </c>
      <c r="AJ31" s="45">
        <v>13.349999999999996</v>
      </c>
      <c r="AK31" s="47">
        <v>7421.7053182574637</v>
      </c>
      <c r="AL31" s="40">
        <v>4912.0600000000004</v>
      </c>
      <c r="AM31" s="41">
        <v>66.18505841125608</v>
      </c>
      <c r="AN31" s="40">
        <v>13</v>
      </c>
      <c r="AO31" s="42">
        <v>8.8000000000000043</v>
      </c>
      <c r="AP31" s="40">
        <v>13</v>
      </c>
      <c r="AQ31" s="42">
        <v>8.8000000000000043</v>
      </c>
      <c r="AR31" s="23">
        <v>8.8000000000000043</v>
      </c>
      <c r="AS31" s="48">
        <v>6.3601789226786032</v>
      </c>
      <c r="AT31" s="40">
        <v>14</v>
      </c>
      <c r="AU31" s="45">
        <v>8.7000000000000046</v>
      </c>
      <c r="AV31" s="29">
        <f t="shared" si="0"/>
        <v>91.7</v>
      </c>
      <c r="AW31" s="50">
        <f t="shared" ref="AW31:AW43" si="2">RANK(AV31,$AV$30:$AV$43)</f>
        <v>12</v>
      </c>
      <c r="AX31" s="51">
        <v>13</v>
      </c>
      <c r="AY31" s="65">
        <v>18000</v>
      </c>
      <c r="AZ31" s="53">
        <v>1800</v>
      </c>
      <c r="BA31" s="61">
        <v>1700</v>
      </c>
      <c r="BB31" s="53">
        <v>500</v>
      </c>
      <c r="BC31" s="54">
        <v>400</v>
      </c>
      <c r="BD31" s="55">
        <v>7000</v>
      </c>
      <c r="BE31" s="56">
        <v>3500</v>
      </c>
      <c r="BF31" s="37">
        <v>33500</v>
      </c>
    </row>
    <row r="32" spans="1:58">
      <c r="A32" s="38" t="s">
        <v>56</v>
      </c>
      <c r="B32" s="39">
        <v>106201</v>
      </c>
      <c r="C32" s="40">
        <v>123988.44197099999</v>
      </c>
      <c r="D32" s="41">
        <v>116.74884602875679</v>
      </c>
      <c r="E32" s="40">
        <v>2</v>
      </c>
      <c r="F32" s="42">
        <v>14.85</v>
      </c>
      <c r="G32" s="40">
        <v>2</v>
      </c>
      <c r="H32" s="42">
        <v>14.85</v>
      </c>
      <c r="I32" s="43">
        <v>14.85</v>
      </c>
      <c r="J32" s="44">
        <v>22310</v>
      </c>
      <c r="K32" s="40">
        <v>23300.286931999999</v>
      </c>
      <c r="L32" s="41">
        <v>104.43875809950694</v>
      </c>
      <c r="M32" s="40">
        <v>4</v>
      </c>
      <c r="N32" s="42">
        <v>14.549999999999999</v>
      </c>
      <c r="O32" s="40">
        <v>5</v>
      </c>
      <c r="P32" s="42">
        <v>14.399999999999999</v>
      </c>
      <c r="Q32" s="45">
        <v>14.474999999999998</v>
      </c>
      <c r="R32" s="46">
        <v>19.988599999999998</v>
      </c>
      <c r="S32" s="40">
        <v>2</v>
      </c>
      <c r="T32" s="43">
        <v>19.8</v>
      </c>
      <c r="U32" s="44">
        <v>3189</v>
      </c>
      <c r="V32" s="40">
        <v>2977</v>
      </c>
      <c r="W32" s="41">
        <v>93.352148008780176</v>
      </c>
      <c r="X32" s="40">
        <v>11</v>
      </c>
      <c r="Y32" s="42">
        <v>13.499999999999996</v>
      </c>
      <c r="Z32" s="40">
        <v>7</v>
      </c>
      <c r="AA32" s="42">
        <v>14.099999999999998</v>
      </c>
      <c r="AB32" s="45">
        <v>13.799999999999997</v>
      </c>
      <c r="AC32" s="44">
        <v>2028</v>
      </c>
      <c r="AD32" s="40">
        <v>1585</v>
      </c>
      <c r="AE32" s="41">
        <v>78.155818540433927</v>
      </c>
      <c r="AF32" s="40">
        <v>11</v>
      </c>
      <c r="AG32" s="42">
        <v>13.499999999999996</v>
      </c>
      <c r="AH32" s="40">
        <v>7</v>
      </c>
      <c r="AI32" s="42">
        <v>14.099999999999998</v>
      </c>
      <c r="AJ32" s="45">
        <v>13.799999999999997</v>
      </c>
      <c r="AK32" s="47">
        <v>18925.256882494585</v>
      </c>
      <c r="AL32" s="40">
        <v>12668.23</v>
      </c>
      <c r="AM32" s="41">
        <v>66.938219537288361</v>
      </c>
      <c r="AN32" s="40">
        <v>11</v>
      </c>
      <c r="AO32" s="42">
        <v>9.0000000000000036</v>
      </c>
      <c r="AP32" s="40">
        <v>6</v>
      </c>
      <c r="AQ32" s="42">
        <v>9.5000000000000018</v>
      </c>
      <c r="AR32" s="23">
        <v>9.2500000000000036</v>
      </c>
      <c r="AS32" s="48">
        <v>6.4502837530368167</v>
      </c>
      <c r="AT32" s="40">
        <v>13</v>
      </c>
      <c r="AU32" s="45">
        <v>8.8000000000000043</v>
      </c>
      <c r="AV32" s="29">
        <f t="shared" si="0"/>
        <v>94.775000000000006</v>
      </c>
      <c r="AW32" s="50">
        <f t="shared" si="2"/>
        <v>5</v>
      </c>
      <c r="AX32" s="51">
        <v>12</v>
      </c>
      <c r="AY32" s="65">
        <v>22000</v>
      </c>
      <c r="AZ32" s="53">
        <v>1800</v>
      </c>
      <c r="BA32" s="61">
        <v>1700</v>
      </c>
      <c r="BB32" s="53">
        <v>500</v>
      </c>
      <c r="BC32" s="54">
        <v>600</v>
      </c>
      <c r="BD32" s="55">
        <v>10000</v>
      </c>
      <c r="BE32" s="56">
        <v>4500</v>
      </c>
      <c r="BF32" s="37">
        <v>41700</v>
      </c>
    </row>
    <row r="33" spans="1:58">
      <c r="A33" s="38" t="s">
        <v>57</v>
      </c>
      <c r="B33" s="39">
        <v>55482</v>
      </c>
      <c r="C33" s="40">
        <v>65175.444779999998</v>
      </c>
      <c r="D33" s="41">
        <v>117.4713326484265</v>
      </c>
      <c r="E33" s="40">
        <v>1</v>
      </c>
      <c r="F33" s="42">
        <v>15</v>
      </c>
      <c r="G33" s="40">
        <v>12</v>
      </c>
      <c r="H33" s="42">
        <v>13.349999999999996</v>
      </c>
      <c r="I33" s="43">
        <v>14.174999999999997</v>
      </c>
      <c r="J33" s="44">
        <v>16099</v>
      </c>
      <c r="K33" s="40">
        <v>18684.368936999999</v>
      </c>
      <c r="L33" s="41">
        <v>116.0591896204733</v>
      </c>
      <c r="M33" s="40">
        <v>1</v>
      </c>
      <c r="N33" s="42">
        <v>15</v>
      </c>
      <c r="O33" s="40">
        <v>12</v>
      </c>
      <c r="P33" s="42">
        <v>13.349999999999996</v>
      </c>
      <c r="Q33" s="45">
        <v>14.174999999999997</v>
      </c>
      <c r="R33" s="46">
        <v>19.965800000000002</v>
      </c>
      <c r="S33" s="40">
        <v>4</v>
      </c>
      <c r="T33" s="43">
        <v>19.400000000000002</v>
      </c>
      <c r="U33" s="44">
        <v>2292</v>
      </c>
      <c r="V33" s="40">
        <v>2244</v>
      </c>
      <c r="W33" s="41">
        <v>97.905759162303653</v>
      </c>
      <c r="X33" s="40">
        <v>2</v>
      </c>
      <c r="Y33" s="42">
        <v>14.85</v>
      </c>
      <c r="Z33" s="40">
        <v>11</v>
      </c>
      <c r="AA33" s="42">
        <v>13.499999999999996</v>
      </c>
      <c r="AB33" s="45">
        <v>14.174999999999997</v>
      </c>
      <c r="AC33" s="44">
        <v>1418.0000000000002</v>
      </c>
      <c r="AD33" s="40">
        <v>1349</v>
      </c>
      <c r="AE33" s="41">
        <v>95.133991537376573</v>
      </c>
      <c r="AF33" s="40">
        <v>3</v>
      </c>
      <c r="AG33" s="42">
        <v>14.7</v>
      </c>
      <c r="AH33" s="40">
        <v>10</v>
      </c>
      <c r="AI33" s="42">
        <v>13.649999999999997</v>
      </c>
      <c r="AJ33" s="45">
        <v>14.174999999999997</v>
      </c>
      <c r="AK33" s="47">
        <v>9639.4572522166054</v>
      </c>
      <c r="AL33" s="40">
        <v>7537.19</v>
      </c>
      <c r="AM33" s="41">
        <v>78.191020539738503</v>
      </c>
      <c r="AN33" s="40">
        <v>6</v>
      </c>
      <c r="AO33" s="42">
        <v>9.5000000000000018</v>
      </c>
      <c r="AP33" s="40">
        <v>9</v>
      </c>
      <c r="AQ33" s="42">
        <v>9.2000000000000028</v>
      </c>
      <c r="AR33" s="23">
        <v>9.3500000000000014</v>
      </c>
      <c r="AS33" s="48">
        <v>7.1583150984682726</v>
      </c>
      <c r="AT33" s="40">
        <v>5</v>
      </c>
      <c r="AU33" s="45">
        <v>9.6000000000000014</v>
      </c>
      <c r="AV33" s="29">
        <f t="shared" si="0"/>
        <v>95.049999999999983</v>
      </c>
      <c r="AW33" s="50">
        <f t="shared" si="2"/>
        <v>3</v>
      </c>
      <c r="AX33" s="51">
        <v>6</v>
      </c>
      <c r="AY33" s="65">
        <v>25000</v>
      </c>
      <c r="AZ33" s="53">
        <v>1300</v>
      </c>
      <c r="BA33" s="61">
        <v>1200</v>
      </c>
      <c r="BB33" s="53">
        <v>350</v>
      </c>
      <c r="BC33" s="54">
        <v>700</v>
      </c>
      <c r="BD33" s="55">
        <v>12000</v>
      </c>
      <c r="BE33" s="56">
        <v>4500</v>
      </c>
      <c r="BF33" s="37">
        <v>44850</v>
      </c>
    </row>
    <row r="34" spans="1:58">
      <c r="A34" s="38" t="s">
        <v>58</v>
      </c>
      <c r="B34" s="39">
        <v>101037</v>
      </c>
      <c r="C34" s="40">
        <v>113473.932384</v>
      </c>
      <c r="D34" s="41">
        <v>112.30928509753852</v>
      </c>
      <c r="E34" s="40">
        <v>6</v>
      </c>
      <c r="F34" s="42">
        <v>14.249999999999998</v>
      </c>
      <c r="G34" s="40">
        <v>4</v>
      </c>
      <c r="H34" s="42">
        <v>14.549999999999999</v>
      </c>
      <c r="I34" s="43">
        <v>14.399999999999999</v>
      </c>
      <c r="J34" s="44">
        <v>25643</v>
      </c>
      <c r="K34" s="40">
        <v>25801.343655000001</v>
      </c>
      <c r="L34" s="41">
        <v>100.61749270756152</v>
      </c>
      <c r="M34" s="40">
        <v>9</v>
      </c>
      <c r="N34" s="42">
        <v>13.799999999999997</v>
      </c>
      <c r="O34" s="40">
        <v>3</v>
      </c>
      <c r="P34" s="42">
        <v>14.7</v>
      </c>
      <c r="Q34" s="45">
        <v>14.249999999999998</v>
      </c>
      <c r="R34" s="46">
        <v>19.943000000000001</v>
      </c>
      <c r="S34" s="40">
        <v>9</v>
      </c>
      <c r="T34" s="43">
        <v>18.400000000000006</v>
      </c>
      <c r="U34" s="44">
        <v>3698</v>
      </c>
      <c r="V34" s="40">
        <v>3487</v>
      </c>
      <c r="W34" s="41">
        <v>94.294213088155772</v>
      </c>
      <c r="X34" s="40">
        <v>8</v>
      </c>
      <c r="Y34" s="42">
        <v>13.949999999999998</v>
      </c>
      <c r="Z34" s="40">
        <v>4</v>
      </c>
      <c r="AA34" s="42">
        <v>14.549999999999999</v>
      </c>
      <c r="AB34" s="45">
        <v>14.249999999999998</v>
      </c>
      <c r="AC34" s="44">
        <v>2340</v>
      </c>
      <c r="AD34" s="40">
        <v>2082</v>
      </c>
      <c r="AE34" s="41">
        <v>88.974358974358978</v>
      </c>
      <c r="AF34" s="40">
        <v>6</v>
      </c>
      <c r="AG34" s="42">
        <v>14.249999999999998</v>
      </c>
      <c r="AH34" s="40">
        <v>4</v>
      </c>
      <c r="AI34" s="42">
        <v>14.549999999999999</v>
      </c>
      <c r="AJ34" s="45">
        <v>14.399999999999999</v>
      </c>
      <c r="AK34" s="47">
        <v>18349.316223784317</v>
      </c>
      <c r="AL34" s="40">
        <v>13322.88</v>
      </c>
      <c r="AM34" s="41">
        <v>72.606956234864654</v>
      </c>
      <c r="AN34" s="40">
        <v>7</v>
      </c>
      <c r="AO34" s="42">
        <v>9.4000000000000021</v>
      </c>
      <c r="AP34" s="40">
        <v>5</v>
      </c>
      <c r="AQ34" s="42">
        <v>9.6000000000000014</v>
      </c>
      <c r="AR34" s="23">
        <v>9.5000000000000018</v>
      </c>
      <c r="AS34" s="48">
        <v>7.2623565961858079</v>
      </c>
      <c r="AT34" s="40">
        <v>4</v>
      </c>
      <c r="AU34" s="45">
        <v>9.7000000000000011</v>
      </c>
      <c r="AV34" s="29">
        <f t="shared" si="0"/>
        <v>94.9</v>
      </c>
      <c r="AW34" s="50">
        <f t="shared" si="2"/>
        <v>4</v>
      </c>
      <c r="AX34" s="51">
        <v>7</v>
      </c>
      <c r="AY34" s="65">
        <v>22000</v>
      </c>
      <c r="AZ34" s="53">
        <v>1500</v>
      </c>
      <c r="BA34" s="61">
        <v>1200</v>
      </c>
      <c r="BB34" s="53">
        <v>350</v>
      </c>
      <c r="BC34" s="54">
        <v>600</v>
      </c>
      <c r="BD34" s="55">
        <v>10000</v>
      </c>
      <c r="BE34" s="56">
        <v>4500</v>
      </c>
      <c r="BF34" s="37">
        <v>40150</v>
      </c>
    </row>
    <row r="35" spans="1:58">
      <c r="A35" s="38" t="s">
        <v>59</v>
      </c>
      <c r="B35" s="39">
        <v>92073</v>
      </c>
      <c r="C35" s="40">
        <v>102733.079094</v>
      </c>
      <c r="D35" s="41">
        <v>111.5778557166596</v>
      </c>
      <c r="E35" s="40">
        <v>7</v>
      </c>
      <c r="F35" s="42">
        <v>14.099999999999998</v>
      </c>
      <c r="G35" s="40">
        <v>9</v>
      </c>
      <c r="H35" s="42">
        <v>13.799999999999997</v>
      </c>
      <c r="I35" s="43">
        <v>13.949999999999998</v>
      </c>
      <c r="J35" s="44">
        <v>21117</v>
      </c>
      <c r="K35" s="40">
        <v>20862.020498999998</v>
      </c>
      <c r="L35" s="41">
        <v>98.79253918170194</v>
      </c>
      <c r="M35" s="40">
        <v>11</v>
      </c>
      <c r="N35" s="42">
        <v>13.499999999999996</v>
      </c>
      <c r="O35" s="40">
        <v>7</v>
      </c>
      <c r="P35" s="42">
        <v>14.099999999999998</v>
      </c>
      <c r="Q35" s="45">
        <v>13.799999999999997</v>
      </c>
      <c r="R35" s="46">
        <v>19.948700000000002</v>
      </c>
      <c r="S35" s="40">
        <v>7</v>
      </c>
      <c r="T35" s="43">
        <v>18.800000000000004</v>
      </c>
      <c r="U35" s="44">
        <v>3408</v>
      </c>
      <c r="V35" s="40">
        <v>3183</v>
      </c>
      <c r="W35" s="41">
        <v>93.397887323943664</v>
      </c>
      <c r="X35" s="40">
        <v>10</v>
      </c>
      <c r="Y35" s="42">
        <v>13.649999999999997</v>
      </c>
      <c r="Z35" s="40">
        <v>6</v>
      </c>
      <c r="AA35" s="42">
        <v>14.249999999999998</v>
      </c>
      <c r="AB35" s="45">
        <v>13.949999999999998</v>
      </c>
      <c r="AC35" s="44">
        <v>2330.9999999999995</v>
      </c>
      <c r="AD35" s="40">
        <v>2053</v>
      </c>
      <c r="AE35" s="41">
        <v>88.073788073788094</v>
      </c>
      <c r="AF35" s="40">
        <v>7</v>
      </c>
      <c r="AG35" s="42">
        <v>14.099999999999998</v>
      </c>
      <c r="AH35" s="40">
        <v>5</v>
      </c>
      <c r="AI35" s="42">
        <v>14.399999999999999</v>
      </c>
      <c r="AJ35" s="45">
        <v>14.249999999999998</v>
      </c>
      <c r="AK35" s="47">
        <v>28320.005457211624</v>
      </c>
      <c r="AL35" s="40">
        <v>24245.5</v>
      </c>
      <c r="AM35" s="41">
        <v>85.6126247455434</v>
      </c>
      <c r="AN35" s="40">
        <v>2</v>
      </c>
      <c r="AO35" s="42">
        <v>9.9</v>
      </c>
      <c r="AP35" s="40">
        <v>1</v>
      </c>
      <c r="AQ35" s="42">
        <v>10</v>
      </c>
      <c r="AR35" s="23">
        <v>9.9499999999999993</v>
      </c>
      <c r="AS35" s="48">
        <v>6.8998026117534987</v>
      </c>
      <c r="AT35" s="40">
        <v>8</v>
      </c>
      <c r="AU35" s="45">
        <v>9.3000000000000025</v>
      </c>
      <c r="AV35" s="29">
        <f t="shared" si="0"/>
        <v>93.999999999999986</v>
      </c>
      <c r="AW35" s="50">
        <f t="shared" si="2"/>
        <v>7</v>
      </c>
      <c r="AX35" s="51">
        <v>11</v>
      </c>
      <c r="AY35" s="65">
        <v>20000</v>
      </c>
      <c r="AZ35" s="53">
        <v>1800</v>
      </c>
      <c r="BA35" s="61">
        <v>1700</v>
      </c>
      <c r="BB35" s="53">
        <v>500</v>
      </c>
      <c r="BC35" s="54">
        <v>500</v>
      </c>
      <c r="BD35" s="55">
        <v>8000</v>
      </c>
      <c r="BE35" s="56">
        <v>4000</v>
      </c>
      <c r="BF35" s="37">
        <v>36600</v>
      </c>
    </row>
    <row r="36" spans="1:58">
      <c r="A36" s="38" t="s">
        <v>60</v>
      </c>
      <c r="B36" s="39">
        <v>93377</v>
      </c>
      <c r="C36" s="40">
        <v>101218.22461600001</v>
      </c>
      <c r="D36" s="41">
        <v>108.39738331280724</v>
      </c>
      <c r="E36" s="40">
        <v>12</v>
      </c>
      <c r="F36" s="42">
        <v>13.349999999999996</v>
      </c>
      <c r="G36" s="40">
        <v>10</v>
      </c>
      <c r="H36" s="42">
        <v>13.649999999999997</v>
      </c>
      <c r="I36" s="43">
        <v>13.499999999999996</v>
      </c>
      <c r="J36" s="44">
        <v>19993</v>
      </c>
      <c r="K36" s="40">
        <v>19071.486411000002</v>
      </c>
      <c r="L36" s="41">
        <v>95.390818841594566</v>
      </c>
      <c r="M36" s="40">
        <v>14</v>
      </c>
      <c r="N36" s="42">
        <v>13.049999999999995</v>
      </c>
      <c r="O36" s="40">
        <v>10</v>
      </c>
      <c r="P36" s="42">
        <v>13.649999999999997</v>
      </c>
      <c r="Q36" s="45">
        <v>13.349999999999996</v>
      </c>
      <c r="R36" s="46">
        <v>19.948700000000002</v>
      </c>
      <c r="S36" s="40">
        <v>7</v>
      </c>
      <c r="T36" s="43">
        <v>18.800000000000004</v>
      </c>
      <c r="U36" s="44">
        <v>2702</v>
      </c>
      <c r="V36" s="40">
        <v>2628</v>
      </c>
      <c r="W36" s="41">
        <v>97.261287934863063</v>
      </c>
      <c r="X36" s="40">
        <v>3</v>
      </c>
      <c r="Y36" s="42">
        <v>14.7</v>
      </c>
      <c r="Z36" s="40">
        <v>9</v>
      </c>
      <c r="AA36" s="42">
        <v>13.799999999999997</v>
      </c>
      <c r="AB36" s="45">
        <v>14.249999999999998</v>
      </c>
      <c r="AC36" s="44">
        <v>1715</v>
      </c>
      <c r="AD36" s="40">
        <v>1624</v>
      </c>
      <c r="AE36" s="41">
        <v>94.693877551020421</v>
      </c>
      <c r="AF36" s="40">
        <v>4</v>
      </c>
      <c r="AG36" s="42">
        <v>14.549999999999999</v>
      </c>
      <c r="AH36" s="40">
        <v>6</v>
      </c>
      <c r="AI36" s="42">
        <v>14.249999999999998</v>
      </c>
      <c r="AJ36" s="45">
        <v>14.399999999999999</v>
      </c>
      <c r="AK36" s="47">
        <v>18039.226845785463</v>
      </c>
      <c r="AL36" s="40">
        <v>15441.72</v>
      </c>
      <c r="AM36" s="41">
        <v>85.60078617564298</v>
      </c>
      <c r="AN36" s="40">
        <v>3</v>
      </c>
      <c r="AO36" s="42">
        <v>9.8000000000000007</v>
      </c>
      <c r="AP36" s="40">
        <v>3</v>
      </c>
      <c r="AQ36" s="42">
        <v>9.8000000000000007</v>
      </c>
      <c r="AR36" s="23">
        <v>9.8000000000000007</v>
      </c>
      <c r="AS36" s="48">
        <v>6.8197524191242458</v>
      </c>
      <c r="AT36" s="40">
        <v>9</v>
      </c>
      <c r="AU36" s="45">
        <v>9.2000000000000028</v>
      </c>
      <c r="AV36" s="29">
        <f t="shared" si="0"/>
        <v>93.3</v>
      </c>
      <c r="AW36" s="50">
        <f t="shared" si="2"/>
        <v>8</v>
      </c>
      <c r="AX36" s="51">
        <v>9</v>
      </c>
      <c r="AY36" s="65">
        <v>20000</v>
      </c>
      <c r="AZ36" s="53">
        <v>1750</v>
      </c>
      <c r="BA36" s="61">
        <v>1500</v>
      </c>
      <c r="BB36" s="53">
        <v>400</v>
      </c>
      <c r="BC36" s="54">
        <v>500</v>
      </c>
      <c r="BD36" s="55">
        <v>8000</v>
      </c>
      <c r="BE36" s="56">
        <v>4000</v>
      </c>
      <c r="BF36" s="37">
        <v>36200</v>
      </c>
    </row>
    <row r="37" spans="1:58">
      <c r="A37" s="38" t="s">
        <v>61</v>
      </c>
      <c r="B37" s="39">
        <v>102113</v>
      </c>
      <c r="C37" s="40">
        <v>112475.83783600001</v>
      </c>
      <c r="D37" s="41">
        <v>110.14840209963472</v>
      </c>
      <c r="E37" s="40">
        <v>10</v>
      </c>
      <c r="F37" s="42">
        <v>13.649999999999997</v>
      </c>
      <c r="G37" s="40">
        <v>5</v>
      </c>
      <c r="H37" s="42">
        <v>14.399999999999999</v>
      </c>
      <c r="I37" s="43">
        <v>14.024999999999999</v>
      </c>
      <c r="J37" s="44">
        <v>31480</v>
      </c>
      <c r="K37" s="40">
        <v>31086.323365</v>
      </c>
      <c r="L37" s="41">
        <v>98.749438897712835</v>
      </c>
      <c r="M37" s="40">
        <v>12</v>
      </c>
      <c r="N37" s="42">
        <v>13.349999999999996</v>
      </c>
      <c r="O37" s="40">
        <v>2</v>
      </c>
      <c r="P37" s="42">
        <v>14.85</v>
      </c>
      <c r="Q37" s="45">
        <v>14.099999999999998</v>
      </c>
      <c r="R37" s="46">
        <v>19.965800000000002</v>
      </c>
      <c r="S37" s="40">
        <v>4</v>
      </c>
      <c r="T37" s="43">
        <v>19.400000000000002</v>
      </c>
      <c r="U37" s="44">
        <v>3963</v>
      </c>
      <c r="V37" s="40">
        <v>3765</v>
      </c>
      <c r="W37" s="41">
        <v>95.003785011355035</v>
      </c>
      <c r="X37" s="40">
        <v>7</v>
      </c>
      <c r="Y37" s="42">
        <v>14.099999999999998</v>
      </c>
      <c r="Z37" s="40">
        <v>2</v>
      </c>
      <c r="AA37" s="42">
        <v>14.85</v>
      </c>
      <c r="AB37" s="45">
        <v>14.474999999999998</v>
      </c>
      <c r="AC37" s="44">
        <v>2750.0000000000005</v>
      </c>
      <c r="AD37" s="40">
        <v>2187</v>
      </c>
      <c r="AE37" s="41">
        <v>79.527272727272717</v>
      </c>
      <c r="AF37" s="40">
        <v>9</v>
      </c>
      <c r="AG37" s="42">
        <v>13.799999999999997</v>
      </c>
      <c r="AH37" s="40">
        <v>1</v>
      </c>
      <c r="AI37" s="42">
        <v>15</v>
      </c>
      <c r="AJ37" s="45">
        <v>14.399999999999999</v>
      </c>
      <c r="AK37" s="47">
        <v>28776.305264239774</v>
      </c>
      <c r="AL37" s="40">
        <v>19012.82</v>
      </c>
      <c r="AM37" s="41">
        <v>66.071095039526057</v>
      </c>
      <c r="AN37" s="40">
        <v>14</v>
      </c>
      <c r="AO37" s="42">
        <v>8.7000000000000046</v>
      </c>
      <c r="AP37" s="40">
        <v>2</v>
      </c>
      <c r="AQ37" s="42">
        <v>9.9</v>
      </c>
      <c r="AR37" s="23">
        <v>9.3000000000000025</v>
      </c>
      <c r="AS37" s="48">
        <v>7.430319755234267</v>
      </c>
      <c r="AT37" s="40">
        <v>1</v>
      </c>
      <c r="AU37" s="45">
        <v>10</v>
      </c>
      <c r="AV37" s="29">
        <f t="shared" si="0"/>
        <v>95.7</v>
      </c>
      <c r="AW37" s="50">
        <f t="shared" si="2"/>
        <v>2</v>
      </c>
      <c r="AX37" s="51">
        <v>14</v>
      </c>
      <c r="AY37" s="65">
        <v>25000</v>
      </c>
      <c r="AZ37" s="53">
        <v>1800</v>
      </c>
      <c r="BA37" s="61">
        <v>1700</v>
      </c>
      <c r="BB37" s="53">
        <v>500</v>
      </c>
      <c r="BC37" s="54">
        <v>750</v>
      </c>
      <c r="BD37" s="55">
        <v>12000</v>
      </c>
      <c r="BE37" s="56">
        <v>5000</v>
      </c>
      <c r="BF37" s="37">
        <v>47550</v>
      </c>
    </row>
    <row r="38" spans="1:58">
      <c r="A38" s="38" t="s">
        <v>62</v>
      </c>
      <c r="B38" s="39">
        <v>67234</v>
      </c>
      <c r="C38" s="40">
        <v>74152.092759000006</v>
      </c>
      <c r="D38" s="41">
        <v>110.28957485647143</v>
      </c>
      <c r="E38" s="40">
        <v>9</v>
      </c>
      <c r="F38" s="42">
        <v>13.799999999999997</v>
      </c>
      <c r="G38" s="40">
        <v>11</v>
      </c>
      <c r="H38" s="42">
        <v>13.499999999999996</v>
      </c>
      <c r="I38" s="43">
        <v>13.649999999999997</v>
      </c>
      <c r="J38" s="44">
        <v>18793</v>
      </c>
      <c r="K38" s="40">
        <v>19243.412402999998</v>
      </c>
      <c r="L38" s="41">
        <v>102.39670304368647</v>
      </c>
      <c r="M38" s="40">
        <v>7</v>
      </c>
      <c r="N38" s="42">
        <v>14.099999999999998</v>
      </c>
      <c r="O38" s="40">
        <v>8</v>
      </c>
      <c r="P38" s="42">
        <v>13.949999999999998</v>
      </c>
      <c r="Q38" s="45">
        <v>14.024999999999999</v>
      </c>
      <c r="R38" s="46">
        <v>19.965800000000002</v>
      </c>
      <c r="S38" s="40">
        <v>4</v>
      </c>
      <c r="T38" s="43">
        <v>19.400000000000002</v>
      </c>
      <c r="U38" s="44">
        <v>2935</v>
      </c>
      <c r="V38" s="40">
        <v>2673</v>
      </c>
      <c r="W38" s="41">
        <v>91.073253833049392</v>
      </c>
      <c r="X38" s="40">
        <v>12</v>
      </c>
      <c r="Y38" s="42">
        <v>13.349999999999996</v>
      </c>
      <c r="Z38" s="40">
        <v>8</v>
      </c>
      <c r="AA38" s="42">
        <v>13.949999999999998</v>
      </c>
      <c r="AB38" s="45">
        <v>13.649999999999997</v>
      </c>
      <c r="AC38" s="44">
        <v>1708.0000000000002</v>
      </c>
      <c r="AD38" s="40">
        <v>1484</v>
      </c>
      <c r="AE38" s="41">
        <v>86.885245901639337</v>
      </c>
      <c r="AF38" s="40">
        <v>8</v>
      </c>
      <c r="AG38" s="42">
        <v>13.949999999999998</v>
      </c>
      <c r="AH38" s="40">
        <v>9</v>
      </c>
      <c r="AI38" s="42">
        <v>13.799999999999997</v>
      </c>
      <c r="AJ38" s="45">
        <v>13.874999999999996</v>
      </c>
      <c r="AK38" s="47">
        <v>10894.731706816872</v>
      </c>
      <c r="AL38" s="40">
        <v>7350.14</v>
      </c>
      <c r="AM38" s="41">
        <v>67.465084940099914</v>
      </c>
      <c r="AN38" s="40">
        <v>10</v>
      </c>
      <c r="AO38" s="42">
        <v>9.1000000000000032</v>
      </c>
      <c r="AP38" s="40">
        <v>10</v>
      </c>
      <c r="AQ38" s="42">
        <v>9.1000000000000032</v>
      </c>
      <c r="AR38" s="23">
        <v>9.1000000000000032</v>
      </c>
      <c r="AS38" s="48">
        <v>6.4654758218234765</v>
      </c>
      <c r="AT38" s="40">
        <v>12</v>
      </c>
      <c r="AU38" s="45">
        <v>8.9000000000000039</v>
      </c>
      <c r="AV38" s="29">
        <f t="shared" si="0"/>
        <v>92.600000000000009</v>
      </c>
      <c r="AW38" s="50">
        <f t="shared" si="2"/>
        <v>10</v>
      </c>
      <c r="AX38" s="51">
        <v>6</v>
      </c>
      <c r="AY38" s="65">
        <v>18000</v>
      </c>
      <c r="AZ38" s="53">
        <v>1300</v>
      </c>
      <c r="BA38" s="61">
        <v>1200</v>
      </c>
      <c r="BB38" s="53">
        <v>400</v>
      </c>
      <c r="BC38" s="54">
        <v>400</v>
      </c>
      <c r="BD38" s="55">
        <v>7000</v>
      </c>
      <c r="BE38" s="56">
        <v>3500</v>
      </c>
      <c r="BF38" s="37">
        <v>31550</v>
      </c>
    </row>
    <row r="39" spans="1:58">
      <c r="A39" s="38" t="s">
        <v>63</v>
      </c>
      <c r="B39" s="39">
        <v>59700</v>
      </c>
      <c r="C39" s="40">
        <v>65017.281131000003</v>
      </c>
      <c r="D39" s="41">
        <v>108.90666856113903</v>
      </c>
      <c r="E39" s="40">
        <v>11</v>
      </c>
      <c r="F39" s="42">
        <v>13.499999999999996</v>
      </c>
      <c r="G39" s="40">
        <v>13</v>
      </c>
      <c r="H39" s="42">
        <v>13.199999999999996</v>
      </c>
      <c r="I39" s="43">
        <v>13.349999999999996</v>
      </c>
      <c r="J39" s="44">
        <v>15342</v>
      </c>
      <c r="K39" s="40">
        <v>16289.040736000001</v>
      </c>
      <c r="L39" s="41">
        <v>106.17286361621693</v>
      </c>
      <c r="M39" s="40">
        <v>3</v>
      </c>
      <c r="N39" s="42">
        <v>14.7</v>
      </c>
      <c r="O39" s="40">
        <v>13</v>
      </c>
      <c r="P39" s="42">
        <v>13.199999999999996</v>
      </c>
      <c r="Q39" s="45">
        <v>13.949999999999998</v>
      </c>
      <c r="R39" s="46">
        <v>19.920200000000001</v>
      </c>
      <c r="S39" s="40">
        <v>14</v>
      </c>
      <c r="T39" s="43">
        <v>17.400000000000009</v>
      </c>
      <c r="U39" s="44">
        <v>1712</v>
      </c>
      <c r="V39" s="40">
        <v>1511</v>
      </c>
      <c r="W39" s="41">
        <v>88.259345794392516</v>
      </c>
      <c r="X39" s="40">
        <v>13</v>
      </c>
      <c r="Y39" s="42">
        <v>13.199999999999996</v>
      </c>
      <c r="Z39" s="40">
        <v>13</v>
      </c>
      <c r="AA39" s="42">
        <v>13.199999999999996</v>
      </c>
      <c r="AB39" s="45">
        <v>13.199999999999996</v>
      </c>
      <c r="AC39" s="44">
        <v>1267</v>
      </c>
      <c r="AD39" s="40">
        <v>697</v>
      </c>
      <c r="AE39" s="41">
        <v>55.011838989739545</v>
      </c>
      <c r="AF39" s="40">
        <v>14</v>
      </c>
      <c r="AG39" s="42">
        <v>13.049999999999995</v>
      </c>
      <c r="AH39" s="40">
        <v>13</v>
      </c>
      <c r="AI39" s="42">
        <v>13.199999999999996</v>
      </c>
      <c r="AJ39" s="45">
        <v>13.124999999999996</v>
      </c>
      <c r="AK39" s="47">
        <v>6386.1868585555158</v>
      </c>
      <c r="AL39" s="40">
        <v>5086.84</v>
      </c>
      <c r="AM39" s="41">
        <v>79.653792046269473</v>
      </c>
      <c r="AN39" s="40">
        <v>4</v>
      </c>
      <c r="AO39" s="42">
        <v>9.7000000000000011</v>
      </c>
      <c r="AP39" s="40">
        <v>12</v>
      </c>
      <c r="AQ39" s="42">
        <v>8.9000000000000039</v>
      </c>
      <c r="AR39" s="23">
        <v>9.3000000000000025</v>
      </c>
      <c r="AS39" s="48">
        <v>6.4696805426375583</v>
      </c>
      <c r="AT39" s="40">
        <v>11</v>
      </c>
      <c r="AU39" s="45">
        <v>9.0000000000000036</v>
      </c>
      <c r="AV39" s="29">
        <f t="shared" si="0"/>
        <v>89.324999999999989</v>
      </c>
      <c r="AW39" s="50">
        <f t="shared" si="2"/>
        <v>14</v>
      </c>
      <c r="AX39" s="51">
        <v>7</v>
      </c>
      <c r="AY39" s="65">
        <v>16000</v>
      </c>
      <c r="AZ39" s="53">
        <v>1500</v>
      </c>
      <c r="BA39" s="61">
        <v>1200</v>
      </c>
      <c r="BB39" s="53">
        <v>350</v>
      </c>
      <c r="BC39" s="54">
        <v>400</v>
      </c>
      <c r="BD39" s="55">
        <v>6500</v>
      </c>
      <c r="BE39" s="56">
        <v>3500</v>
      </c>
      <c r="BF39" s="37">
        <v>29400</v>
      </c>
    </row>
    <row r="40" spans="1:58">
      <c r="A40" s="38" t="s">
        <v>64</v>
      </c>
      <c r="B40" s="39">
        <v>91765</v>
      </c>
      <c r="C40" s="40">
        <v>105628.237884</v>
      </c>
      <c r="D40" s="41">
        <v>115.10732619626219</v>
      </c>
      <c r="E40" s="40">
        <v>3</v>
      </c>
      <c r="F40" s="42">
        <v>14.7</v>
      </c>
      <c r="G40" s="40">
        <v>7</v>
      </c>
      <c r="H40" s="42">
        <v>14.099999999999998</v>
      </c>
      <c r="I40" s="43">
        <v>14.399999999999999</v>
      </c>
      <c r="J40" s="44">
        <v>18472</v>
      </c>
      <c r="K40" s="40">
        <v>18816.441771000002</v>
      </c>
      <c r="L40" s="41">
        <v>101.86466961346905</v>
      </c>
      <c r="M40" s="40">
        <v>8</v>
      </c>
      <c r="N40" s="42">
        <v>13.949999999999998</v>
      </c>
      <c r="O40" s="40">
        <v>11</v>
      </c>
      <c r="P40" s="42">
        <v>13.499999999999996</v>
      </c>
      <c r="Q40" s="45">
        <v>13.724999999999998</v>
      </c>
      <c r="R40" s="46">
        <v>19.925899999999999</v>
      </c>
      <c r="S40" s="40">
        <v>13</v>
      </c>
      <c r="T40" s="43">
        <v>17.600000000000009</v>
      </c>
      <c r="U40" s="44">
        <v>3358</v>
      </c>
      <c r="V40" s="40">
        <v>3218</v>
      </c>
      <c r="W40" s="41">
        <v>95.830851697438959</v>
      </c>
      <c r="X40" s="40">
        <v>6</v>
      </c>
      <c r="Y40" s="42">
        <v>14.249999999999998</v>
      </c>
      <c r="Z40" s="40">
        <v>5</v>
      </c>
      <c r="AA40" s="42">
        <v>14.399999999999999</v>
      </c>
      <c r="AB40" s="45">
        <v>14.324999999999999</v>
      </c>
      <c r="AC40" s="44">
        <v>1764.0000000000002</v>
      </c>
      <c r="AD40" s="40">
        <v>1580</v>
      </c>
      <c r="AE40" s="41">
        <v>89.569160997732425</v>
      </c>
      <c r="AF40" s="40">
        <v>5</v>
      </c>
      <c r="AG40" s="42">
        <v>14.399999999999999</v>
      </c>
      <c r="AH40" s="40">
        <v>8</v>
      </c>
      <c r="AI40" s="42">
        <v>13.949999999999998</v>
      </c>
      <c r="AJ40" s="45">
        <v>14.174999999999997</v>
      </c>
      <c r="AK40" s="47">
        <v>9351.7824501993491</v>
      </c>
      <c r="AL40" s="40">
        <v>6429.24</v>
      </c>
      <c r="AM40" s="41">
        <v>68.748819107345142</v>
      </c>
      <c r="AN40" s="40">
        <v>9</v>
      </c>
      <c r="AO40" s="42">
        <v>9.2000000000000028</v>
      </c>
      <c r="AP40" s="40">
        <v>11</v>
      </c>
      <c r="AQ40" s="42">
        <v>9.0000000000000036</v>
      </c>
      <c r="AR40" s="23">
        <v>9.1000000000000032</v>
      </c>
      <c r="AS40" s="48">
        <v>7.2746417218976482</v>
      </c>
      <c r="AT40" s="40">
        <v>3</v>
      </c>
      <c r="AU40" s="45">
        <v>9.8000000000000007</v>
      </c>
      <c r="AV40" s="29">
        <f t="shared" si="0"/>
        <v>93.125000000000014</v>
      </c>
      <c r="AW40" s="50">
        <f t="shared" si="2"/>
        <v>9</v>
      </c>
      <c r="AX40" s="51">
        <v>3</v>
      </c>
      <c r="AY40" s="65">
        <v>20000</v>
      </c>
      <c r="AZ40" s="53">
        <v>1000</v>
      </c>
      <c r="BA40" s="61">
        <v>1000</v>
      </c>
      <c r="BB40" s="53">
        <v>300</v>
      </c>
      <c r="BC40" s="54">
        <v>500</v>
      </c>
      <c r="BD40" s="55">
        <v>8000</v>
      </c>
      <c r="BE40" s="56">
        <v>4000</v>
      </c>
      <c r="BF40" s="37">
        <v>34600</v>
      </c>
    </row>
    <row r="41" spans="1:58">
      <c r="A41" s="38" t="s">
        <v>65</v>
      </c>
      <c r="B41" s="39">
        <v>29234</v>
      </c>
      <c r="C41" s="40">
        <v>33305.440089999996</v>
      </c>
      <c r="D41" s="41">
        <v>113.92707152630499</v>
      </c>
      <c r="E41" s="40">
        <v>4</v>
      </c>
      <c r="F41" s="42">
        <v>14.549999999999999</v>
      </c>
      <c r="G41" s="40">
        <v>14</v>
      </c>
      <c r="H41" s="42">
        <v>13.049999999999995</v>
      </c>
      <c r="I41" s="43">
        <v>13.799999999999997</v>
      </c>
      <c r="J41" s="44">
        <v>6062</v>
      </c>
      <c r="K41" s="40">
        <v>6464.0755810000001</v>
      </c>
      <c r="L41" s="41">
        <v>106.63272156054109</v>
      </c>
      <c r="M41" s="40">
        <v>2</v>
      </c>
      <c r="N41" s="42">
        <v>14.85</v>
      </c>
      <c r="O41" s="40">
        <v>14</v>
      </c>
      <c r="P41" s="42">
        <v>13.049999999999995</v>
      </c>
      <c r="Q41" s="45">
        <v>13.949999999999998</v>
      </c>
      <c r="R41" s="46">
        <v>19.942999999999998</v>
      </c>
      <c r="S41" s="40">
        <v>10</v>
      </c>
      <c r="T41" s="43">
        <v>18.200000000000006</v>
      </c>
      <c r="U41" s="44">
        <v>922</v>
      </c>
      <c r="V41" s="40">
        <v>885</v>
      </c>
      <c r="W41" s="41">
        <v>95.986984815618214</v>
      </c>
      <c r="X41" s="40">
        <v>5</v>
      </c>
      <c r="Y41" s="42">
        <v>14.399999999999999</v>
      </c>
      <c r="Z41" s="40">
        <v>14</v>
      </c>
      <c r="AA41" s="42">
        <v>13.049999999999995</v>
      </c>
      <c r="AB41" s="45">
        <v>13.724999999999998</v>
      </c>
      <c r="AC41" s="44">
        <v>545</v>
      </c>
      <c r="AD41" s="40">
        <v>547</v>
      </c>
      <c r="AE41" s="41">
        <v>100.36697247706422</v>
      </c>
      <c r="AF41" s="40">
        <v>2</v>
      </c>
      <c r="AG41" s="42">
        <v>14.85</v>
      </c>
      <c r="AH41" s="40">
        <v>14</v>
      </c>
      <c r="AI41" s="42">
        <v>13.049999999999995</v>
      </c>
      <c r="AJ41" s="45">
        <v>13.949999999999998</v>
      </c>
      <c r="AK41" s="47">
        <v>620.66476898044925</v>
      </c>
      <c r="AL41" s="40">
        <v>658.88</v>
      </c>
      <c r="AM41" s="41">
        <v>106.15714519809558</v>
      </c>
      <c r="AN41" s="40">
        <v>1</v>
      </c>
      <c r="AO41" s="42">
        <v>10</v>
      </c>
      <c r="AP41" s="40">
        <v>14</v>
      </c>
      <c r="AQ41" s="42">
        <v>8.7000000000000046</v>
      </c>
      <c r="AR41" s="23">
        <v>9.3500000000000014</v>
      </c>
      <c r="AS41" s="48">
        <v>6.4990320969929716</v>
      </c>
      <c r="AT41" s="40">
        <v>10</v>
      </c>
      <c r="AU41" s="45">
        <v>9.1000000000000032</v>
      </c>
      <c r="AV41" s="29">
        <f t="shared" si="0"/>
        <v>92.075000000000003</v>
      </c>
      <c r="AW41" s="50">
        <f t="shared" si="2"/>
        <v>11</v>
      </c>
      <c r="AX41" s="51">
        <v>4</v>
      </c>
      <c r="AY41" s="65">
        <v>18000</v>
      </c>
      <c r="AZ41" s="53">
        <v>800</v>
      </c>
      <c r="BA41" s="61">
        <v>800</v>
      </c>
      <c r="BB41" s="53">
        <v>300</v>
      </c>
      <c r="BC41" s="54">
        <v>400</v>
      </c>
      <c r="BD41" s="55">
        <v>7000</v>
      </c>
      <c r="BE41" s="56">
        <v>3500</v>
      </c>
      <c r="BF41" s="37">
        <v>30766</v>
      </c>
    </row>
    <row r="42" spans="1:58">
      <c r="A42" s="38" t="s">
        <v>66</v>
      </c>
      <c r="B42" s="39">
        <v>93410</v>
      </c>
      <c r="C42" s="40">
        <v>103702.106309</v>
      </c>
      <c r="D42" s="41">
        <v>111.01820609035434</v>
      </c>
      <c r="E42" s="40">
        <v>8</v>
      </c>
      <c r="F42" s="42">
        <v>13.949999999999998</v>
      </c>
      <c r="G42" s="40">
        <v>8</v>
      </c>
      <c r="H42" s="42">
        <v>13.949999999999998</v>
      </c>
      <c r="I42" s="43">
        <v>13.949999999999998</v>
      </c>
      <c r="J42" s="44">
        <v>19367</v>
      </c>
      <c r="K42" s="40">
        <v>19236.384397999998</v>
      </c>
      <c r="L42" s="41">
        <v>99.325576485774775</v>
      </c>
      <c r="M42" s="40">
        <v>10</v>
      </c>
      <c r="N42" s="42">
        <v>13.649999999999997</v>
      </c>
      <c r="O42" s="40">
        <v>9</v>
      </c>
      <c r="P42" s="42">
        <v>13.799999999999997</v>
      </c>
      <c r="Q42" s="45">
        <v>13.724999999999998</v>
      </c>
      <c r="R42" s="46">
        <v>19.940000000000001</v>
      </c>
      <c r="S42" s="40">
        <v>11</v>
      </c>
      <c r="T42" s="43">
        <v>18.000000000000007</v>
      </c>
      <c r="U42" s="44">
        <v>2443</v>
      </c>
      <c r="V42" s="40">
        <v>2300</v>
      </c>
      <c r="W42" s="41">
        <v>94.14654113794515</v>
      </c>
      <c r="X42" s="40">
        <v>9</v>
      </c>
      <c r="Y42" s="42">
        <v>13.799999999999997</v>
      </c>
      <c r="Z42" s="40">
        <v>10</v>
      </c>
      <c r="AA42" s="42">
        <v>13.649999999999997</v>
      </c>
      <c r="AB42" s="45">
        <v>13.724999999999998</v>
      </c>
      <c r="AC42" s="44">
        <v>1453.9999999999998</v>
      </c>
      <c r="AD42" s="40">
        <v>1028</v>
      </c>
      <c r="AE42" s="41">
        <v>70.701513067400285</v>
      </c>
      <c r="AF42" s="40">
        <v>12</v>
      </c>
      <c r="AG42" s="42">
        <v>13.349999999999996</v>
      </c>
      <c r="AH42" s="40">
        <v>12</v>
      </c>
      <c r="AI42" s="42">
        <v>13.349999999999996</v>
      </c>
      <c r="AJ42" s="45">
        <v>13.349999999999996</v>
      </c>
      <c r="AK42" s="47">
        <v>11880.64061327365</v>
      </c>
      <c r="AL42" s="40">
        <v>8247.36</v>
      </c>
      <c r="AM42" s="41">
        <v>69.418478922640205</v>
      </c>
      <c r="AN42" s="40">
        <v>8</v>
      </c>
      <c r="AO42" s="42">
        <v>9.3000000000000025</v>
      </c>
      <c r="AP42" s="40">
        <v>8</v>
      </c>
      <c r="AQ42" s="42">
        <v>9.3000000000000025</v>
      </c>
      <c r="AR42" s="23">
        <v>9.3000000000000025</v>
      </c>
      <c r="AS42" s="48">
        <v>7.0018715896923442</v>
      </c>
      <c r="AT42" s="40">
        <v>6</v>
      </c>
      <c r="AU42" s="45">
        <v>9.5000000000000018</v>
      </c>
      <c r="AV42" s="29">
        <f t="shared" si="0"/>
        <v>91.55</v>
      </c>
      <c r="AW42" s="50">
        <f t="shared" si="2"/>
        <v>13</v>
      </c>
      <c r="AX42" s="51">
        <v>3</v>
      </c>
      <c r="AY42" s="65">
        <v>16000</v>
      </c>
      <c r="AZ42" s="53">
        <v>1000</v>
      </c>
      <c r="BA42" s="61">
        <v>1000</v>
      </c>
      <c r="BB42" s="53">
        <v>300</v>
      </c>
      <c r="BC42" s="54">
        <v>400</v>
      </c>
      <c r="BD42" s="55">
        <v>6500</v>
      </c>
      <c r="BE42" s="56">
        <v>3500</v>
      </c>
      <c r="BF42" s="37">
        <v>28450</v>
      </c>
    </row>
    <row r="43" spans="1:58" ht="17.25" thickBot="1">
      <c r="A43" s="66" t="s">
        <v>67</v>
      </c>
      <c r="B43" s="67">
        <v>136792</v>
      </c>
      <c r="C43" s="68">
        <v>146198.66944100001</v>
      </c>
      <c r="D43" s="69">
        <v>106.87662249327445</v>
      </c>
      <c r="E43" s="68">
        <v>14</v>
      </c>
      <c r="F43" s="70">
        <v>13.049999999999995</v>
      </c>
      <c r="G43" s="68">
        <v>1</v>
      </c>
      <c r="H43" s="70">
        <v>15</v>
      </c>
      <c r="I43" s="71">
        <v>14.024999999999999</v>
      </c>
      <c r="J43" s="72">
        <v>22641</v>
      </c>
      <c r="K43" s="68">
        <v>23558.025362</v>
      </c>
      <c r="L43" s="69">
        <v>104.05028648027914</v>
      </c>
      <c r="M43" s="68">
        <v>6</v>
      </c>
      <c r="N43" s="70">
        <v>14.249999999999998</v>
      </c>
      <c r="O43" s="68">
        <v>4</v>
      </c>
      <c r="P43" s="70">
        <v>14.549999999999999</v>
      </c>
      <c r="Q43" s="73">
        <v>14.399999999999999</v>
      </c>
      <c r="R43" s="74">
        <v>19.9316</v>
      </c>
      <c r="S43" s="68">
        <v>12</v>
      </c>
      <c r="T43" s="71">
        <v>17.800000000000008</v>
      </c>
      <c r="U43" s="72">
        <v>3910</v>
      </c>
      <c r="V43" s="68">
        <v>3837</v>
      </c>
      <c r="W43" s="69">
        <v>98.132992327365727</v>
      </c>
      <c r="X43" s="68">
        <v>1</v>
      </c>
      <c r="Y43" s="70">
        <v>15</v>
      </c>
      <c r="Z43" s="68">
        <v>1</v>
      </c>
      <c r="AA43" s="70">
        <v>15</v>
      </c>
      <c r="AB43" s="73">
        <v>15</v>
      </c>
      <c r="AC43" s="72">
        <v>2081</v>
      </c>
      <c r="AD43" s="68">
        <v>2175</v>
      </c>
      <c r="AE43" s="69">
        <v>104.51705910619894</v>
      </c>
      <c r="AF43" s="68">
        <v>1</v>
      </c>
      <c r="AG43" s="70">
        <v>15</v>
      </c>
      <c r="AH43" s="68">
        <v>2</v>
      </c>
      <c r="AI43" s="70">
        <v>14.85</v>
      </c>
      <c r="AJ43" s="73">
        <v>14.925000000000001</v>
      </c>
      <c r="AK43" s="75">
        <v>15428.440420201285</v>
      </c>
      <c r="AL43" s="68">
        <v>10249.879999999999</v>
      </c>
      <c r="AM43" s="69">
        <v>66.434971525568344</v>
      </c>
      <c r="AN43" s="68">
        <v>12</v>
      </c>
      <c r="AO43" s="70">
        <v>8.9000000000000039</v>
      </c>
      <c r="AP43" s="68">
        <v>7</v>
      </c>
      <c r="AQ43" s="70">
        <v>9.4000000000000021</v>
      </c>
      <c r="AR43" s="23">
        <v>9.1500000000000021</v>
      </c>
      <c r="AS43" s="76">
        <v>6.9891085550333232</v>
      </c>
      <c r="AT43" s="68">
        <v>7</v>
      </c>
      <c r="AU43" s="73">
        <v>9.4000000000000021</v>
      </c>
      <c r="AV43" s="29">
        <f t="shared" si="0"/>
        <v>94.700000000000017</v>
      </c>
      <c r="AW43" s="50">
        <f t="shared" si="2"/>
        <v>6</v>
      </c>
      <c r="AX43" s="79">
        <v>5</v>
      </c>
      <c r="AY43" s="80">
        <v>22000</v>
      </c>
      <c r="AZ43" s="81">
        <v>1300</v>
      </c>
      <c r="BA43" s="82">
        <v>1200</v>
      </c>
      <c r="BB43" s="81">
        <v>400</v>
      </c>
      <c r="BC43" s="83">
        <v>600</v>
      </c>
      <c r="BD43" s="84">
        <v>10000</v>
      </c>
      <c r="BE43" s="85">
        <v>4500</v>
      </c>
      <c r="BF43" s="86">
        <v>39650</v>
      </c>
    </row>
    <row r="44" spans="1:58" ht="17.25" thickBot="1">
      <c r="A44" s="87" t="s">
        <v>68</v>
      </c>
      <c r="B44" s="88">
        <v>8321000</v>
      </c>
      <c r="C44" s="89">
        <v>8978492.3516499996</v>
      </c>
      <c r="D44" s="106">
        <f>C44/B44%</f>
        <v>107.90160259163562</v>
      </c>
      <c r="E44" s="89"/>
      <c r="F44" s="89"/>
      <c r="G44" s="89"/>
      <c r="H44" s="89"/>
      <c r="I44" s="90"/>
      <c r="J44" s="88">
        <v>1661000</v>
      </c>
      <c r="K44" s="89">
        <v>1777687.0445300005</v>
      </c>
      <c r="L44" s="106">
        <f>K44/J44%</f>
        <v>107.02510803913309</v>
      </c>
      <c r="M44" s="89"/>
      <c r="N44" s="89"/>
      <c r="O44" s="89"/>
      <c r="P44" s="89"/>
      <c r="Q44" s="91"/>
      <c r="R44" s="92"/>
      <c r="S44" s="89"/>
      <c r="T44" s="90"/>
      <c r="U44" s="88">
        <v>250000</v>
      </c>
      <c r="V44" s="89">
        <v>237619</v>
      </c>
      <c r="W44" s="106">
        <f>V44/U44%</f>
        <v>95.047600000000003</v>
      </c>
      <c r="X44" s="89"/>
      <c r="Y44" s="89"/>
      <c r="Z44" s="89"/>
      <c r="AA44" s="89"/>
      <c r="AB44" s="91"/>
      <c r="AC44" s="92">
        <v>149449</v>
      </c>
      <c r="AD44" s="89">
        <v>125899</v>
      </c>
      <c r="AE44" s="106">
        <f>AD44/AC44%</f>
        <v>84.242116039585412</v>
      </c>
      <c r="AF44" s="89"/>
      <c r="AG44" s="89"/>
      <c r="AH44" s="89"/>
      <c r="AI44" s="89"/>
      <c r="AJ44" s="89"/>
      <c r="AK44" s="89">
        <v>1044000.3098933609</v>
      </c>
      <c r="AL44" s="89">
        <v>711668.65</v>
      </c>
      <c r="AM44" s="106">
        <f>AL44/AK44%</f>
        <v>68.167474976390878</v>
      </c>
      <c r="AN44" s="89"/>
      <c r="AO44" s="89"/>
      <c r="AP44" s="89"/>
      <c r="AQ44" s="89"/>
      <c r="AR44" s="90"/>
      <c r="AS44" s="88"/>
      <c r="AT44" s="89"/>
      <c r="AU44" s="91"/>
      <c r="AV44" s="93"/>
      <c r="AW44" s="89"/>
      <c r="AX44" s="91"/>
      <c r="AY44" s="92">
        <f>SUM(AY4:AY43)</f>
        <v>1000000</v>
      </c>
      <c r="AZ44" s="89">
        <f>SUM(AZ4:AZ43)</f>
        <v>75916</v>
      </c>
      <c r="BA44" s="89">
        <f t="shared" ref="BA44:BB44" si="3">SUM(BA4:BA43)</f>
        <v>80000</v>
      </c>
      <c r="BB44" s="89">
        <f t="shared" si="3"/>
        <v>22000</v>
      </c>
      <c r="BC44" s="90">
        <f>SUM(BC4:BC43)</f>
        <v>25000</v>
      </c>
      <c r="BD44" s="88">
        <f>SUM(BD4:BD43)</f>
        <v>400000</v>
      </c>
      <c r="BE44" s="91">
        <f>SUM(BE4:BE43)</f>
        <v>200000</v>
      </c>
      <c r="BF44" s="94">
        <f>SUM(BF4:BF43)</f>
        <v>1802916</v>
      </c>
    </row>
    <row r="47" spans="1:58">
      <c r="BB47" s="107"/>
    </row>
  </sheetData>
  <mergeCells count="14">
    <mergeCell ref="BD2:BE2"/>
    <mergeCell ref="BF2:BF3"/>
    <mergeCell ref="AK2:AR2"/>
    <mergeCell ref="AS2:AU2"/>
    <mergeCell ref="AV2:AV3"/>
    <mergeCell ref="AW2:AW3"/>
    <mergeCell ref="AX2:AX3"/>
    <mergeCell ref="AY2:BC2"/>
    <mergeCell ref="AC2:AJ2"/>
    <mergeCell ref="A2:A3"/>
    <mergeCell ref="B2:I2"/>
    <mergeCell ref="J2:Q2"/>
    <mergeCell ref="R2:T2"/>
    <mergeCell ref="U2:AB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F44"/>
  <sheetViews>
    <sheetView workbookViewId="0">
      <pane xSplit="1" ySplit="3" topLeftCell="AV4" activePane="bottomRight" state="frozen"/>
      <selection pane="topRight" activeCell="B1" sqref="B1"/>
      <selection pane="bottomLeft" activeCell="A4" sqref="A4"/>
      <selection pane="bottomRight" activeCell="AY4" sqref="AY4:BF43"/>
    </sheetView>
  </sheetViews>
  <sheetFormatPr defaultRowHeight="16.5"/>
  <cols>
    <col min="1" max="1" width="11.875" style="1" customWidth="1"/>
    <col min="2" max="47" width="9" style="1"/>
    <col min="48" max="50" width="9.625" style="1" customWidth="1"/>
    <col min="51" max="52" width="13.625" style="1" customWidth="1"/>
    <col min="53" max="53" width="16.375" style="1" customWidth="1"/>
    <col min="54" max="57" width="13.625" style="1" customWidth="1"/>
    <col min="58" max="58" width="13.5" style="1" customWidth="1"/>
    <col min="59" max="16384" width="9" style="1"/>
  </cols>
  <sheetData>
    <row r="1" spans="1:58" ht="17.25" thickBot="1"/>
    <row r="2" spans="1:58" ht="28.5" customHeight="1">
      <c r="A2" s="103" t="s">
        <v>69</v>
      </c>
      <c r="B2" s="537" t="s">
        <v>0</v>
      </c>
      <c r="C2" s="533"/>
      <c r="D2" s="533"/>
      <c r="E2" s="533"/>
      <c r="F2" s="533"/>
      <c r="G2" s="533"/>
      <c r="H2" s="533"/>
      <c r="I2" s="538"/>
      <c r="J2" s="532" t="s">
        <v>1</v>
      </c>
      <c r="K2" s="533"/>
      <c r="L2" s="533"/>
      <c r="M2" s="533"/>
      <c r="N2" s="533"/>
      <c r="O2" s="533"/>
      <c r="P2" s="533"/>
      <c r="Q2" s="534"/>
      <c r="R2" s="537" t="s">
        <v>2</v>
      </c>
      <c r="S2" s="533"/>
      <c r="T2" s="538"/>
      <c r="U2" s="532" t="s">
        <v>3</v>
      </c>
      <c r="V2" s="533"/>
      <c r="W2" s="533"/>
      <c r="X2" s="533"/>
      <c r="Y2" s="533"/>
      <c r="Z2" s="533"/>
      <c r="AA2" s="533"/>
      <c r="AB2" s="534"/>
      <c r="AC2" s="532" t="s">
        <v>4</v>
      </c>
      <c r="AD2" s="533"/>
      <c r="AE2" s="533"/>
      <c r="AF2" s="533"/>
      <c r="AG2" s="533"/>
      <c r="AH2" s="533"/>
      <c r="AI2" s="533"/>
      <c r="AJ2" s="534"/>
      <c r="AK2" s="537" t="s">
        <v>5</v>
      </c>
      <c r="AL2" s="533"/>
      <c r="AM2" s="533"/>
      <c r="AN2" s="533"/>
      <c r="AO2" s="533"/>
      <c r="AP2" s="533"/>
      <c r="AQ2" s="533"/>
      <c r="AR2" s="538"/>
      <c r="AS2" s="532" t="s">
        <v>6</v>
      </c>
      <c r="AT2" s="533"/>
      <c r="AU2" s="534"/>
      <c r="AV2" s="95" t="s">
        <v>7</v>
      </c>
      <c r="AW2" s="97" t="s">
        <v>8</v>
      </c>
      <c r="AX2" s="99" t="s">
        <v>9</v>
      </c>
      <c r="AY2" s="549" t="s">
        <v>10</v>
      </c>
      <c r="AZ2" s="550"/>
      <c r="BA2" s="550"/>
      <c r="BB2" s="550"/>
      <c r="BC2" s="551"/>
      <c r="BD2" s="539" t="s">
        <v>11</v>
      </c>
      <c r="BE2" s="540"/>
      <c r="BF2" s="101" t="s">
        <v>12</v>
      </c>
    </row>
    <row r="3" spans="1:58" ht="36" customHeight="1" thickBot="1">
      <c r="A3" s="104" t="s">
        <v>70</v>
      </c>
      <c r="B3" s="2" t="s">
        <v>13</v>
      </c>
      <c r="C3" s="3" t="s">
        <v>14</v>
      </c>
      <c r="D3" s="3" t="s">
        <v>15</v>
      </c>
      <c r="E3" s="4" t="s">
        <v>16</v>
      </c>
      <c r="F3" s="4" t="s">
        <v>17</v>
      </c>
      <c r="G3" s="4" t="s">
        <v>18</v>
      </c>
      <c r="H3" s="4" t="s">
        <v>19</v>
      </c>
      <c r="I3" s="5" t="s">
        <v>20</v>
      </c>
      <c r="J3" s="6" t="s">
        <v>13</v>
      </c>
      <c r="K3" s="3" t="s">
        <v>14</v>
      </c>
      <c r="L3" s="3" t="s">
        <v>15</v>
      </c>
      <c r="M3" s="4" t="s">
        <v>16</v>
      </c>
      <c r="N3" s="4" t="s">
        <v>17</v>
      </c>
      <c r="O3" s="4" t="s">
        <v>18</v>
      </c>
      <c r="P3" s="4" t="s">
        <v>19</v>
      </c>
      <c r="Q3" s="7" t="s">
        <v>20</v>
      </c>
      <c r="R3" s="8" t="s">
        <v>21</v>
      </c>
      <c r="S3" s="3" t="s">
        <v>8</v>
      </c>
      <c r="T3" s="9" t="s">
        <v>20</v>
      </c>
      <c r="U3" s="6" t="s">
        <v>13</v>
      </c>
      <c r="V3" s="3" t="s">
        <v>14</v>
      </c>
      <c r="W3" s="3" t="s">
        <v>15</v>
      </c>
      <c r="X3" s="4" t="s">
        <v>16</v>
      </c>
      <c r="Y3" s="4" t="s">
        <v>17</v>
      </c>
      <c r="Z3" s="4" t="s">
        <v>18</v>
      </c>
      <c r="AA3" s="4" t="s">
        <v>19</v>
      </c>
      <c r="AB3" s="10" t="s">
        <v>20</v>
      </c>
      <c r="AC3" s="11" t="s">
        <v>13</v>
      </c>
      <c r="AD3" s="3" t="s">
        <v>14</v>
      </c>
      <c r="AE3" s="3" t="s">
        <v>15</v>
      </c>
      <c r="AF3" s="4" t="s">
        <v>16</v>
      </c>
      <c r="AG3" s="4" t="s">
        <v>17</v>
      </c>
      <c r="AH3" s="4" t="s">
        <v>18</v>
      </c>
      <c r="AI3" s="4" t="s">
        <v>19</v>
      </c>
      <c r="AJ3" s="7" t="s">
        <v>20</v>
      </c>
      <c r="AK3" s="8" t="s">
        <v>13</v>
      </c>
      <c r="AL3" s="3" t="s">
        <v>14</v>
      </c>
      <c r="AM3" s="3" t="s">
        <v>15</v>
      </c>
      <c r="AN3" s="4" t="s">
        <v>16</v>
      </c>
      <c r="AO3" s="4" t="s">
        <v>17</v>
      </c>
      <c r="AP3" s="4" t="s">
        <v>18</v>
      </c>
      <c r="AQ3" s="4" t="s">
        <v>19</v>
      </c>
      <c r="AR3" s="9" t="s">
        <v>20</v>
      </c>
      <c r="AS3" s="6" t="s">
        <v>21</v>
      </c>
      <c r="AT3" s="3" t="s">
        <v>8</v>
      </c>
      <c r="AU3" s="7" t="s">
        <v>20</v>
      </c>
      <c r="AV3" s="96" t="s">
        <v>71</v>
      </c>
      <c r="AW3" s="98" t="s">
        <v>72</v>
      </c>
      <c r="AX3" s="100" t="s">
        <v>73</v>
      </c>
      <c r="AY3" s="12" t="s">
        <v>22</v>
      </c>
      <c r="AZ3" s="13" t="s">
        <v>23</v>
      </c>
      <c r="BA3" s="13" t="s">
        <v>24</v>
      </c>
      <c r="BB3" s="14" t="s">
        <v>25</v>
      </c>
      <c r="BC3" s="15" t="s">
        <v>26</v>
      </c>
      <c r="BD3" s="16" t="s">
        <v>22</v>
      </c>
      <c r="BE3" s="17" t="s">
        <v>27</v>
      </c>
      <c r="BF3" s="102" t="s">
        <v>74</v>
      </c>
    </row>
    <row r="4" spans="1:58">
      <c r="A4" s="18" t="s">
        <v>28</v>
      </c>
      <c r="B4" s="19">
        <v>299995</v>
      </c>
      <c r="C4" s="20">
        <v>323347.67689900001</v>
      </c>
      <c r="D4" s="21">
        <v>107.78435537225621</v>
      </c>
      <c r="E4" s="20">
        <v>13</v>
      </c>
      <c r="F4" s="22">
        <v>13.199999999999996</v>
      </c>
      <c r="G4" s="20">
        <v>10</v>
      </c>
      <c r="H4" s="22">
        <v>13.649999999999997</v>
      </c>
      <c r="I4" s="23">
        <v>13.424999999999997</v>
      </c>
      <c r="J4" s="24">
        <v>61649</v>
      </c>
      <c r="K4" s="20">
        <v>64908.880835999997</v>
      </c>
      <c r="L4" s="21">
        <v>105.28780813314084</v>
      </c>
      <c r="M4" s="20">
        <v>9</v>
      </c>
      <c r="N4" s="22">
        <v>13.799999999999997</v>
      </c>
      <c r="O4" s="20">
        <v>10</v>
      </c>
      <c r="P4" s="22">
        <v>13.649999999999997</v>
      </c>
      <c r="Q4" s="25">
        <v>13.724999999999998</v>
      </c>
      <c r="R4" s="26">
        <v>19.982900000000001</v>
      </c>
      <c r="S4" s="20">
        <v>6</v>
      </c>
      <c r="T4" s="23">
        <v>19.000000000000004</v>
      </c>
      <c r="U4" s="24">
        <v>9804</v>
      </c>
      <c r="V4" s="20">
        <v>9003</v>
      </c>
      <c r="W4" s="21">
        <v>91.829865361077111</v>
      </c>
      <c r="X4" s="20">
        <v>21</v>
      </c>
      <c r="Y4" s="22">
        <v>11.999999999999993</v>
      </c>
      <c r="Z4" s="20">
        <v>7</v>
      </c>
      <c r="AA4" s="22">
        <v>14.099999999999998</v>
      </c>
      <c r="AB4" s="25">
        <v>13.049999999999995</v>
      </c>
      <c r="AC4" s="24">
        <v>5846</v>
      </c>
      <c r="AD4" s="20">
        <v>4769</v>
      </c>
      <c r="AE4" s="21">
        <v>81.577146767020182</v>
      </c>
      <c r="AF4" s="20">
        <v>15</v>
      </c>
      <c r="AG4" s="22">
        <v>12.899999999999995</v>
      </c>
      <c r="AH4" s="20">
        <v>10</v>
      </c>
      <c r="AI4" s="22">
        <v>13.649999999999997</v>
      </c>
      <c r="AJ4" s="25">
        <v>13.274999999999995</v>
      </c>
      <c r="AK4" s="27">
        <v>29619.754629248422</v>
      </c>
      <c r="AL4" s="20">
        <v>20050.060000000001</v>
      </c>
      <c r="AM4" s="21">
        <v>67.691512812875573</v>
      </c>
      <c r="AN4" s="20">
        <v>8</v>
      </c>
      <c r="AO4" s="22">
        <v>9.3000000000000025</v>
      </c>
      <c r="AP4" s="20">
        <v>13</v>
      </c>
      <c r="AQ4" s="22">
        <v>8.8000000000000043</v>
      </c>
      <c r="AR4" s="23">
        <v>9.0500000000000043</v>
      </c>
      <c r="AS4" s="28">
        <v>7.0534190126215623</v>
      </c>
      <c r="AT4" s="20">
        <v>15</v>
      </c>
      <c r="AU4" s="25">
        <v>8.600000000000005</v>
      </c>
      <c r="AV4" s="29">
        <v>90.125000000000014</v>
      </c>
      <c r="AW4" s="30">
        <v>10</v>
      </c>
      <c r="AX4" s="31">
        <v>19</v>
      </c>
      <c r="AY4" s="32">
        <v>27000</v>
      </c>
      <c r="AZ4" s="33">
        <v>3300</v>
      </c>
      <c r="BA4" s="33">
        <v>3200</v>
      </c>
      <c r="BB4" s="33">
        <v>900</v>
      </c>
      <c r="BC4" s="34">
        <v>600</v>
      </c>
      <c r="BD4" s="35">
        <v>10000</v>
      </c>
      <c r="BE4" s="36">
        <v>5000</v>
      </c>
      <c r="BF4" s="37">
        <v>50250</v>
      </c>
    </row>
    <row r="5" spans="1:58">
      <c r="A5" s="38" t="s">
        <v>29</v>
      </c>
      <c r="B5" s="39">
        <v>224643</v>
      </c>
      <c r="C5" s="40">
        <v>265705.886757</v>
      </c>
      <c r="D5" s="41">
        <v>118.27917484942776</v>
      </c>
      <c r="E5" s="40">
        <v>1</v>
      </c>
      <c r="F5" s="42">
        <v>15</v>
      </c>
      <c r="G5" s="40">
        <v>15</v>
      </c>
      <c r="H5" s="42">
        <v>12.899999999999995</v>
      </c>
      <c r="I5" s="43">
        <v>13.949999999999998</v>
      </c>
      <c r="J5" s="44">
        <v>54762</v>
      </c>
      <c r="K5" s="40">
        <v>80103.360782999996</v>
      </c>
      <c r="L5" s="41">
        <v>146.27544790730798</v>
      </c>
      <c r="M5" s="40">
        <v>1</v>
      </c>
      <c r="N5" s="42">
        <v>15</v>
      </c>
      <c r="O5" s="40">
        <v>4</v>
      </c>
      <c r="P5" s="42">
        <v>14.549999999999999</v>
      </c>
      <c r="Q5" s="45">
        <v>14.774999999999999</v>
      </c>
      <c r="R5" s="46">
        <v>19.984999999999999</v>
      </c>
      <c r="S5" s="40">
        <v>5</v>
      </c>
      <c r="T5" s="43">
        <v>19.200000000000003</v>
      </c>
      <c r="U5" s="44">
        <v>6756</v>
      </c>
      <c r="V5" s="40">
        <v>6468</v>
      </c>
      <c r="W5" s="41">
        <v>95.737122557726465</v>
      </c>
      <c r="X5" s="40">
        <v>12</v>
      </c>
      <c r="Y5" s="42">
        <v>13.349999999999996</v>
      </c>
      <c r="Z5" s="40">
        <v>16</v>
      </c>
      <c r="AA5" s="42">
        <v>12.749999999999995</v>
      </c>
      <c r="AB5" s="45">
        <v>13.049999999999995</v>
      </c>
      <c r="AC5" s="44">
        <v>4154</v>
      </c>
      <c r="AD5" s="40">
        <v>3709</v>
      </c>
      <c r="AE5" s="41">
        <v>89.287433798748197</v>
      </c>
      <c r="AF5" s="40">
        <v>6</v>
      </c>
      <c r="AG5" s="42">
        <v>14.249999999999998</v>
      </c>
      <c r="AH5" s="40">
        <v>13</v>
      </c>
      <c r="AI5" s="42">
        <v>13.199999999999996</v>
      </c>
      <c r="AJ5" s="45">
        <v>13.724999999999998</v>
      </c>
      <c r="AK5" s="47">
        <v>19391.732260071101</v>
      </c>
      <c r="AL5" s="40">
        <v>13799.48</v>
      </c>
      <c r="AM5" s="41">
        <v>71.161667327751175</v>
      </c>
      <c r="AN5" s="40">
        <v>4</v>
      </c>
      <c r="AO5" s="42">
        <v>9.7000000000000011</v>
      </c>
      <c r="AP5" s="40">
        <v>22</v>
      </c>
      <c r="AQ5" s="42">
        <v>7.9000000000000075</v>
      </c>
      <c r="AR5" s="43">
        <v>8.8000000000000043</v>
      </c>
      <c r="AS5" s="48">
        <v>7.0654022597504218</v>
      </c>
      <c r="AT5" s="40">
        <v>14</v>
      </c>
      <c r="AU5" s="45">
        <v>8.7000000000000046</v>
      </c>
      <c r="AV5" s="49">
        <v>92.2</v>
      </c>
      <c r="AW5" s="50">
        <v>3</v>
      </c>
      <c r="AX5" s="51">
        <v>8</v>
      </c>
      <c r="AY5" s="52">
        <v>33000</v>
      </c>
      <c r="AZ5" s="53">
        <v>1800</v>
      </c>
      <c r="BA5" s="53">
        <v>1800</v>
      </c>
      <c r="BB5" s="53">
        <v>500</v>
      </c>
      <c r="BC5" s="54">
        <v>900</v>
      </c>
      <c r="BD5" s="55">
        <v>16000</v>
      </c>
      <c r="BE5" s="56">
        <v>8000</v>
      </c>
      <c r="BF5" s="37">
        <v>61900</v>
      </c>
    </row>
    <row r="6" spans="1:58">
      <c r="A6" s="38" t="s">
        <v>30</v>
      </c>
      <c r="B6" s="39">
        <v>151364</v>
      </c>
      <c r="C6" s="40">
        <v>167687.40096100001</v>
      </c>
      <c r="D6" s="41">
        <v>110.78420295512804</v>
      </c>
      <c r="E6" s="40">
        <v>7</v>
      </c>
      <c r="F6" s="42">
        <v>14.099999999999998</v>
      </c>
      <c r="G6" s="40">
        <v>22</v>
      </c>
      <c r="H6" s="42">
        <v>11.849999999999993</v>
      </c>
      <c r="I6" s="43">
        <v>12.974999999999994</v>
      </c>
      <c r="J6" s="44">
        <v>32926</v>
      </c>
      <c r="K6" s="40">
        <v>34130.885876</v>
      </c>
      <c r="L6" s="41">
        <v>103.65937519285671</v>
      </c>
      <c r="M6" s="40">
        <v>10</v>
      </c>
      <c r="N6" s="42">
        <v>13.649999999999997</v>
      </c>
      <c r="O6" s="40">
        <v>22</v>
      </c>
      <c r="P6" s="42">
        <v>11.849999999999993</v>
      </c>
      <c r="Q6" s="45">
        <v>12.749999999999995</v>
      </c>
      <c r="R6" s="46">
        <v>19.9544</v>
      </c>
      <c r="S6" s="40">
        <v>18</v>
      </c>
      <c r="T6" s="43">
        <v>16.600000000000012</v>
      </c>
      <c r="U6" s="44">
        <v>5402</v>
      </c>
      <c r="V6" s="40">
        <v>5207</v>
      </c>
      <c r="W6" s="41">
        <v>96.390225842280628</v>
      </c>
      <c r="X6" s="40">
        <v>8</v>
      </c>
      <c r="Y6" s="42">
        <v>13.949999999999998</v>
      </c>
      <c r="Z6" s="40">
        <v>24</v>
      </c>
      <c r="AA6" s="42">
        <v>11.549999999999992</v>
      </c>
      <c r="AB6" s="45">
        <v>12.749999999999995</v>
      </c>
      <c r="AC6" s="44">
        <v>3152.0000000000005</v>
      </c>
      <c r="AD6" s="40">
        <v>2246</v>
      </c>
      <c r="AE6" s="41">
        <v>71.256345177664969</v>
      </c>
      <c r="AF6" s="40">
        <v>20</v>
      </c>
      <c r="AG6" s="42">
        <v>12.149999999999993</v>
      </c>
      <c r="AH6" s="40">
        <v>24</v>
      </c>
      <c r="AI6" s="42">
        <v>11.549999999999992</v>
      </c>
      <c r="AJ6" s="45">
        <v>11.849999999999993</v>
      </c>
      <c r="AK6" s="47">
        <v>12023.776359356245</v>
      </c>
      <c r="AL6" s="40">
        <v>7854.42</v>
      </c>
      <c r="AM6" s="41">
        <v>65.324069287833353</v>
      </c>
      <c r="AN6" s="40">
        <v>18</v>
      </c>
      <c r="AO6" s="42">
        <v>8.300000000000006</v>
      </c>
      <c r="AP6" s="40">
        <v>24</v>
      </c>
      <c r="AQ6" s="42">
        <v>7.7000000000000082</v>
      </c>
      <c r="AR6" s="43">
        <v>8.0000000000000071</v>
      </c>
      <c r="AS6" s="48">
        <v>7.2162227255604794</v>
      </c>
      <c r="AT6" s="40">
        <v>7</v>
      </c>
      <c r="AU6" s="45">
        <v>9.4000000000000021</v>
      </c>
      <c r="AV6" s="49">
        <v>84.324999999999989</v>
      </c>
      <c r="AW6" s="50">
        <v>23</v>
      </c>
      <c r="AX6" s="51">
        <v>5</v>
      </c>
      <c r="AY6" s="52">
        <v>23000</v>
      </c>
      <c r="AZ6" s="53">
        <v>1566</v>
      </c>
      <c r="BA6" s="53">
        <v>1500</v>
      </c>
      <c r="BB6" s="53">
        <v>400</v>
      </c>
      <c r="BC6" s="54">
        <v>500</v>
      </c>
      <c r="BD6" s="55">
        <v>7000</v>
      </c>
      <c r="BE6" s="56">
        <v>4000</v>
      </c>
      <c r="BF6" s="37">
        <v>37400</v>
      </c>
    </row>
    <row r="7" spans="1:58">
      <c r="A7" s="38" t="s">
        <v>31</v>
      </c>
      <c r="B7" s="39">
        <v>421947</v>
      </c>
      <c r="C7" s="40">
        <v>481259.07493300003</v>
      </c>
      <c r="D7" s="41">
        <v>114.05675948235205</v>
      </c>
      <c r="E7" s="40">
        <v>4</v>
      </c>
      <c r="F7" s="42">
        <v>14.549999999999999</v>
      </c>
      <c r="G7" s="40">
        <v>3</v>
      </c>
      <c r="H7" s="42">
        <v>14.7</v>
      </c>
      <c r="I7" s="43">
        <v>14.625</v>
      </c>
      <c r="J7" s="44">
        <v>98615</v>
      </c>
      <c r="K7" s="40">
        <v>129374.30506300001</v>
      </c>
      <c r="L7" s="41">
        <v>131.19130463215535</v>
      </c>
      <c r="M7" s="40">
        <v>2</v>
      </c>
      <c r="N7" s="42">
        <v>14.85</v>
      </c>
      <c r="O7" s="40">
        <v>1</v>
      </c>
      <c r="P7" s="42">
        <v>15</v>
      </c>
      <c r="Q7" s="45">
        <v>14.925000000000001</v>
      </c>
      <c r="R7" s="46">
        <v>19.95</v>
      </c>
      <c r="S7" s="40">
        <v>20</v>
      </c>
      <c r="T7" s="43">
        <v>16.200000000000014</v>
      </c>
      <c r="U7" s="44">
        <v>15565</v>
      </c>
      <c r="V7" s="40">
        <v>14827</v>
      </c>
      <c r="W7" s="41">
        <v>95.258592997108892</v>
      </c>
      <c r="X7" s="40">
        <v>16</v>
      </c>
      <c r="Y7" s="42">
        <v>12.749999999999995</v>
      </c>
      <c r="Z7" s="40">
        <v>1</v>
      </c>
      <c r="AA7" s="42">
        <v>15</v>
      </c>
      <c r="AB7" s="45">
        <v>13.874999999999996</v>
      </c>
      <c r="AC7" s="44">
        <v>8681</v>
      </c>
      <c r="AD7" s="40">
        <v>7576</v>
      </c>
      <c r="AE7" s="41">
        <v>87.271051722151824</v>
      </c>
      <c r="AF7" s="40">
        <v>10</v>
      </c>
      <c r="AG7" s="42">
        <v>13.649999999999997</v>
      </c>
      <c r="AH7" s="40">
        <v>1</v>
      </c>
      <c r="AI7" s="42">
        <v>15</v>
      </c>
      <c r="AJ7" s="45">
        <v>14.324999999999999</v>
      </c>
      <c r="AK7" s="47">
        <v>48503.051117651346</v>
      </c>
      <c r="AL7" s="40">
        <v>30774.83</v>
      </c>
      <c r="AM7" s="41">
        <v>63.449266161320622</v>
      </c>
      <c r="AN7" s="40">
        <v>23</v>
      </c>
      <c r="AO7" s="42">
        <v>7.8000000000000078</v>
      </c>
      <c r="AP7" s="40">
        <v>4</v>
      </c>
      <c r="AQ7" s="42">
        <v>9.7000000000000011</v>
      </c>
      <c r="AR7" s="43">
        <v>8.7500000000000036</v>
      </c>
      <c r="AS7" s="48">
        <v>6.9398331830609852</v>
      </c>
      <c r="AT7" s="40">
        <v>17</v>
      </c>
      <c r="AU7" s="45">
        <v>8.4000000000000057</v>
      </c>
      <c r="AV7" s="49">
        <v>91.100000000000023</v>
      </c>
      <c r="AW7" s="50">
        <v>6</v>
      </c>
      <c r="AX7" s="51">
        <v>16</v>
      </c>
      <c r="AY7" s="52">
        <v>33000</v>
      </c>
      <c r="AZ7" s="53">
        <v>3000</v>
      </c>
      <c r="BA7" s="53">
        <v>4000</v>
      </c>
      <c r="BB7" s="53">
        <v>850</v>
      </c>
      <c r="BC7" s="54">
        <v>850</v>
      </c>
      <c r="BD7" s="55">
        <v>15000</v>
      </c>
      <c r="BE7" s="56">
        <v>6000</v>
      </c>
      <c r="BF7" s="37">
        <v>62650</v>
      </c>
    </row>
    <row r="8" spans="1:58">
      <c r="A8" s="38" t="s">
        <v>32</v>
      </c>
      <c r="B8" s="39">
        <v>315529</v>
      </c>
      <c r="C8" s="40">
        <v>344504.00949500001</v>
      </c>
      <c r="D8" s="41">
        <v>109.18299411306093</v>
      </c>
      <c r="E8" s="40">
        <v>11</v>
      </c>
      <c r="F8" s="42">
        <v>13.499999999999996</v>
      </c>
      <c r="G8" s="40">
        <v>8</v>
      </c>
      <c r="H8" s="42">
        <v>13.949999999999998</v>
      </c>
      <c r="I8" s="43">
        <v>13.724999999999998</v>
      </c>
      <c r="J8" s="44">
        <v>72656</v>
      </c>
      <c r="K8" s="40">
        <v>73623.766407000003</v>
      </c>
      <c r="L8" s="41">
        <v>101.33198415409602</v>
      </c>
      <c r="M8" s="40">
        <v>18</v>
      </c>
      <c r="N8" s="42">
        <v>12.449999999999994</v>
      </c>
      <c r="O8" s="40">
        <v>9</v>
      </c>
      <c r="P8" s="42">
        <v>13.799999999999997</v>
      </c>
      <c r="Q8" s="45">
        <v>13.124999999999996</v>
      </c>
      <c r="R8" s="46">
        <v>19.97</v>
      </c>
      <c r="S8" s="40">
        <v>10</v>
      </c>
      <c r="T8" s="43">
        <v>18.200000000000006</v>
      </c>
      <c r="U8" s="44">
        <v>9432</v>
      </c>
      <c r="V8" s="40">
        <v>9275</v>
      </c>
      <c r="W8" s="41">
        <v>98.335453774385073</v>
      </c>
      <c r="X8" s="40">
        <v>3</v>
      </c>
      <c r="Y8" s="42">
        <v>14.7</v>
      </c>
      <c r="Z8" s="40">
        <v>5</v>
      </c>
      <c r="AA8" s="42">
        <v>14.399999999999999</v>
      </c>
      <c r="AB8" s="45">
        <v>14.549999999999999</v>
      </c>
      <c r="AC8" s="44">
        <v>5856.0000000000009</v>
      </c>
      <c r="AD8" s="40">
        <v>5688</v>
      </c>
      <c r="AE8" s="41">
        <v>97.131147540983591</v>
      </c>
      <c r="AF8" s="40">
        <v>4</v>
      </c>
      <c r="AG8" s="42">
        <v>14.549999999999999</v>
      </c>
      <c r="AH8" s="40">
        <v>3</v>
      </c>
      <c r="AI8" s="42">
        <v>14.7</v>
      </c>
      <c r="AJ8" s="45">
        <v>14.625</v>
      </c>
      <c r="AK8" s="47">
        <v>27864.372502300728</v>
      </c>
      <c r="AL8" s="40">
        <v>18443.900000000001</v>
      </c>
      <c r="AM8" s="41">
        <v>66.19169334775836</v>
      </c>
      <c r="AN8" s="40">
        <v>14</v>
      </c>
      <c r="AO8" s="42">
        <v>8.7000000000000046</v>
      </c>
      <c r="AP8" s="40">
        <v>15</v>
      </c>
      <c r="AQ8" s="42">
        <v>8.600000000000005</v>
      </c>
      <c r="AR8" s="43">
        <v>8.6500000000000057</v>
      </c>
      <c r="AS8" s="48">
        <v>7.2419777982360483</v>
      </c>
      <c r="AT8" s="40">
        <v>5</v>
      </c>
      <c r="AU8" s="45">
        <v>9.6000000000000014</v>
      </c>
      <c r="AV8" s="49">
        <v>92.474999999999994</v>
      </c>
      <c r="AW8" s="50">
        <v>2</v>
      </c>
      <c r="AX8" s="51">
        <v>11</v>
      </c>
      <c r="AY8" s="52">
        <v>33000</v>
      </c>
      <c r="AZ8" s="53">
        <v>2000</v>
      </c>
      <c r="BA8" s="53">
        <v>2700</v>
      </c>
      <c r="BB8" s="53">
        <v>600</v>
      </c>
      <c r="BC8" s="54">
        <v>1000</v>
      </c>
      <c r="BD8" s="55">
        <v>17000</v>
      </c>
      <c r="BE8" s="56">
        <v>9000</v>
      </c>
      <c r="BF8" s="37">
        <v>65300</v>
      </c>
    </row>
    <row r="9" spans="1:58">
      <c r="A9" s="38" t="s">
        <v>33</v>
      </c>
      <c r="B9" s="39">
        <v>263868</v>
      </c>
      <c r="C9" s="40">
        <v>275841.53005900001</v>
      </c>
      <c r="D9" s="41">
        <v>104.53769690110208</v>
      </c>
      <c r="E9" s="40">
        <v>19</v>
      </c>
      <c r="F9" s="42">
        <v>12.299999999999994</v>
      </c>
      <c r="G9" s="40">
        <v>14</v>
      </c>
      <c r="H9" s="42">
        <v>13.049999999999995</v>
      </c>
      <c r="I9" s="43">
        <v>12.674999999999994</v>
      </c>
      <c r="J9" s="44">
        <v>55706</v>
      </c>
      <c r="K9" s="40">
        <v>56791.186292999999</v>
      </c>
      <c r="L9" s="41">
        <v>101.94805998097154</v>
      </c>
      <c r="M9" s="40">
        <v>16</v>
      </c>
      <c r="N9" s="42">
        <v>12.749999999999995</v>
      </c>
      <c r="O9" s="40">
        <v>12</v>
      </c>
      <c r="P9" s="42">
        <v>13.349999999999996</v>
      </c>
      <c r="Q9" s="45">
        <v>13.049999999999995</v>
      </c>
      <c r="R9" s="46">
        <v>19.994999999999997</v>
      </c>
      <c r="S9" s="40">
        <v>2</v>
      </c>
      <c r="T9" s="43">
        <v>19.8</v>
      </c>
      <c r="U9" s="44">
        <v>8847</v>
      </c>
      <c r="V9" s="40">
        <v>7860</v>
      </c>
      <c r="W9" s="41">
        <v>88.843675822312647</v>
      </c>
      <c r="X9" s="40">
        <v>24</v>
      </c>
      <c r="Y9" s="42">
        <v>11.549999999999992</v>
      </c>
      <c r="Z9" s="40">
        <v>11</v>
      </c>
      <c r="AA9" s="42">
        <v>13.499999999999996</v>
      </c>
      <c r="AB9" s="45">
        <v>12.524999999999995</v>
      </c>
      <c r="AC9" s="44">
        <v>5227</v>
      </c>
      <c r="AD9" s="40">
        <v>3003</v>
      </c>
      <c r="AE9" s="41">
        <v>57.451693131815567</v>
      </c>
      <c r="AF9" s="40">
        <v>24</v>
      </c>
      <c r="AG9" s="42">
        <v>11.549999999999992</v>
      </c>
      <c r="AH9" s="40">
        <v>21</v>
      </c>
      <c r="AI9" s="42">
        <v>11.999999999999993</v>
      </c>
      <c r="AJ9" s="45">
        <v>11.774999999999991</v>
      </c>
      <c r="AK9" s="47">
        <v>33634.971335939954</v>
      </c>
      <c r="AL9" s="40">
        <v>22267.74</v>
      </c>
      <c r="AM9" s="41">
        <v>66.204129557875589</v>
      </c>
      <c r="AN9" s="40">
        <v>13</v>
      </c>
      <c r="AO9" s="42">
        <v>8.8000000000000043</v>
      </c>
      <c r="AP9" s="40">
        <v>11</v>
      </c>
      <c r="AQ9" s="42">
        <v>9.0000000000000036</v>
      </c>
      <c r="AR9" s="43">
        <v>8.9000000000000039</v>
      </c>
      <c r="AS9" s="48">
        <v>6.9359441020876966</v>
      </c>
      <c r="AT9" s="40">
        <v>18</v>
      </c>
      <c r="AU9" s="45">
        <v>8.300000000000006</v>
      </c>
      <c r="AV9" s="49">
        <v>87.024999999999991</v>
      </c>
      <c r="AW9" s="50">
        <v>16</v>
      </c>
      <c r="AX9" s="51">
        <v>12</v>
      </c>
      <c r="AY9" s="52">
        <v>25000</v>
      </c>
      <c r="AZ9" s="53">
        <v>2000</v>
      </c>
      <c r="BA9" s="53">
        <v>2800</v>
      </c>
      <c r="BB9" s="53">
        <v>600</v>
      </c>
      <c r="BC9" s="54">
        <v>550</v>
      </c>
      <c r="BD9" s="55">
        <v>8000</v>
      </c>
      <c r="BE9" s="56">
        <v>4500</v>
      </c>
      <c r="BF9" s="37">
        <v>43950</v>
      </c>
    </row>
    <row r="10" spans="1:58">
      <c r="A10" s="38" t="s">
        <v>34</v>
      </c>
      <c r="B10" s="39">
        <v>464377</v>
      </c>
      <c r="C10" s="40">
        <v>485367.95041500003</v>
      </c>
      <c r="D10" s="41">
        <v>104.52023903315624</v>
      </c>
      <c r="E10" s="40">
        <v>20</v>
      </c>
      <c r="F10" s="42">
        <v>12.149999999999993</v>
      </c>
      <c r="G10" s="40">
        <v>2</v>
      </c>
      <c r="H10" s="42">
        <v>14.85</v>
      </c>
      <c r="I10" s="43">
        <v>13.499999999999996</v>
      </c>
      <c r="J10" s="44">
        <v>92948</v>
      </c>
      <c r="K10" s="40">
        <v>95193.144694999995</v>
      </c>
      <c r="L10" s="41">
        <v>102.41548467422645</v>
      </c>
      <c r="M10" s="40">
        <v>14</v>
      </c>
      <c r="N10" s="42">
        <v>13.049999999999995</v>
      </c>
      <c r="O10" s="40">
        <v>2</v>
      </c>
      <c r="P10" s="42">
        <v>14.85</v>
      </c>
      <c r="Q10" s="45">
        <v>13.949999999999998</v>
      </c>
      <c r="R10" s="46">
        <v>19.982900000000001</v>
      </c>
      <c r="S10" s="40">
        <v>6</v>
      </c>
      <c r="T10" s="43">
        <v>19.000000000000004</v>
      </c>
      <c r="U10" s="44">
        <v>12188</v>
      </c>
      <c r="V10" s="40">
        <v>11475</v>
      </c>
      <c r="W10" s="41">
        <v>94.149983590416809</v>
      </c>
      <c r="X10" s="40">
        <v>19</v>
      </c>
      <c r="Y10" s="42">
        <v>12.299999999999994</v>
      </c>
      <c r="Z10" s="40">
        <v>4</v>
      </c>
      <c r="AA10" s="42">
        <v>14.549999999999999</v>
      </c>
      <c r="AB10" s="45">
        <v>13.424999999999997</v>
      </c>
      <c r="AC10" s="44">
        <v>7283</v>
      </c>
      <c r="AD10" s="40">
        <v>4976</v>
      </c>
      <c r="AE10" s="41">
        <v>68.323493066044207</v>
      </c>
      <c r="AF10" s="40">
        <v>23</v>
      </c>
      <c r="AG10" s="42">
        <v>11.699999999999992</v>
      </c>
      <c r="AH10" s="40">
        <v>8</v>
      </c>
      <c r="AI10" s="42">
        <v>13.949999999999998</v>
      </c>
      <c r="AJ10" s="45">
        <v>12.824999999999996</v>
      </c>
      <c r="AK10" s="47">
        <v>49017</v>
      </c>
      <c r="AL10" s="40">
        <v>34682.04</v>
      </c>
      <c r="AM10" s="41">
        <v>70.755125772691102</v>
      </c>
      <c r="AN10" s="40">
        <v>5</v>
      </c>
      <c r="AO10" s="42">
        <v>9.6000000000000014</v>
      </c>
      <c r="AP10" s="40">
        <v>3</v>
      </c>
      <c r="AQ10" s="42">
        <v>9.8000000000000007</v>
      </c>
      <c r="AR10" s="43">
        <v>9.7000000000000011</v>
      </c>
      <c r="AS10" s="48">
        <v>6.8976547248810673</v>
      </c>
      <c r="AT10" s="40">
        <v>20</v>
      </c>
      <c r="AU10" s="45">
        <v>8.1000000000000068</v>
      </c>
      <c r="AV10" s="49">
        <v>90.5</v>
      </c>
      <c r="AW10" s="50">
        <v>8</v>
      </c>
      <c r="AX10" s="51">
        <v>10</v>
      </c>
      <c r="AY10" s="52">
        <v>30000</v>
      </c>
      <c r="AZ10" s="53">
        <v>1900</v>
      </c>
      <c r="BA10" s="53">
        <v>2200</v>
      </c>
      <c r="BB10" s="53">
        <v>600</v>
      </c>
      <c r="BC10" s="54">
        <v>800</v>
      </c>
      <c r="BD10" s="55">
        <v>12000</v>
      </c>
      <c r="BE10" s="56">
        <v>6000</v>
      </c>
      <c r="BF10" s="37">
        <v>53400</v>
      </c>
    </row>
    <row r="11" spans="1:58">
      <c r="A11" s="38" t="s">
        <v>35</v>
      </c>
      <c r="B11" s="39">
        <v>285275</v>
      </c>
      <c r="C11" s="40">
        <v>291092.817263</v>
      </c>
      <c r="D11" s="41">
        <v>102.03937157584787</v>
      </c>
      <c r="E11" s="40">
        <v>23</v>
      </c>
      <c r="F11" s="42">
        <v>11.699999999999992</v>
      </c>
      <c r="G11" s="40">
        <v>13</v>
      </c>
      <c r="H11" s="42">
        <v>13.199999999999996</v>
      </c>
      <c r="I11" s="43">
        <v>12.449999999999994</v>
      </c>
      <c r="J11" s="44">
        <v>45192</v>
      </c>
      <c r="K11" s="40">
        <v>48712.389089999997</v>
      </c>
      <c r="L11" s="41">
        <v>107.78985017259691</v>
      </c>
      <c r="M11" s="40">
        <v>7</v>
      </c>
      <c r="N11" s="42">
        <v>14.099999999999998</v>
      </c>
      <c r="O11" s="40">
        <v>13</v>
      </c>
      <c r="P11" s="42">
        <v>13.199999999999996</v>
      </c>
      <c r="Q11" s="45">
        <v>13.649999999999997</v>
      </c>
      <c r="R11" s="46">
        <v>20</v>
      </c>
      <c r="S11" s="40">
        <v>1</v>
      </c>
      <c r="T11" s="43">
        <v>20</v>
      </c>
      <c r="U11" s="44">
        <v>8180</v>
      </c>
      <c r="V11" s="40">
        <v>7863</v>
      </c>
      <c r="W11" s="41">
        <v>96.124694376528126</v>
      </c>
      <c r="X11" s="40">
        <v>10</v>
      </c>
      <c r="Y11" s="42">
        <v>13.649999999999997</v>
      </c>
      <c r="Z11" s="40">
        <v>10</v>
      </c>
      <c r="AA11" s="42">
        <v>13.649999999999997</v>
      </c>
      <c r="AB11" s="45">
        <v>13.649999999999997</v>
      </c>
      <c r="AC11" s="44">
        <v>3989</v>
      </c>
      <c r="AD11" s="40">
        <v>4982</v>
      </c>
      <c r="AE11" s="41">
        <v>124.89345700676861</v>
      </c>
      <c r="AF11" s="40">
        <v>1</v>
      </c>
      <c r="AG11" s="42">
        <v>15</v>
      </c>
      <c r="AH11" s="40">
        <v>7</v>
      </c>
      <c r="AI11" s="42">
        <v>14.099999999999998</v>
      </c>
      <c r="AJ11" s="45">
        <v>14.549999999999999</v>
      </c>
      <c r="AK11" s="47">
        <v>28705</v>
      </c>
      <c r="AL11" s="40">
        <v>17961.22</v>
      </c>
      <c r="AM11" s="41">
        <v>62.571747082389827</v>
      </c>
      <c r="AN11" s="40">
        <v>24</v>
      </c>
      <c r="AO11" s="42">
        <v>7.7000000000000082</v>
      </c>
      <c r="AP11" s="40">
        <v>17</v>
      </c>
      <c r="AQ11" s="42">
        <v>8.4000000000000057</v>
      </c>
      <c r="AR11" s="43">
        <v>8.0500000000000078</v>
      </c>
      <c r="AS11" s="48">
        <v>6.9952675455810738</v>
      </c>
      <c r="AT11" s="40">
        <v>16</v>
      </c>
      <c r="AU11" s="45">
        <v>8.5000000000000053</v>
      </c>
      <c r="AV11" s="49">
        <v>90.850000000000009</v>
      </c>
      <c r="AW11" s="50">
        <v>7</v>
      </c>
      <c r="AX11" s="51">
        <v>9</v>
      </c>
      <c r="AY11" s="52">
        <v>30000</v>
      </c>
      <c r="AZ11" s="53">
        <v>1800</v>
      </c>
      <c r="BA11" s="53">
        <v>2000</v>
      </c>
      <c r="BB11" s="53">
        <v>600</v>
      </c>
      <c r="BC11" s="54">
        <v>800</v>
      </c>
      <c r="BD11" s="55">
        <v>12000</v>
      </c>
      <c r="BE11" s="56">
        <v>6000</v>
      </c>
      <c r="BF11" s="37">
        <v>53200</v>
      </c>
    </row>
    <row r="12" spans="1:58">
      <c r="A12" s="57" t="s">
        <v>36</v>
      </c>
      <c r="B12" s="39"/>
      <c r="C12" s="40"/>
      <c r="D12" s="41"/>
      <c r="E12" s="40"/>
      <c r="F12" s="42"/>
      <c r="G12" s="40"/>
      <c r="H12" s="42"/>
      <c r="I12" s="43"/>
      <c r="J12" s="44"/>
      <c r="K12" s="40"/>
      <c r="L12" s="41"/>
      <c r="M12" s="40"/>
      <c r="N12" s="42"/>
      <c r="O12" s="40"/>
      <c r="P12" s="42"/>
      <c r="Q12" s="45"/>
      <c r="R12" s="46"/>
      <c r="S12" s="40"/>
      <c r="T12" s="43"/>
      <c r="U12" s="44"/>
      <c r="V12" s="40"/>
      <c r="W12" s="41"/>
      <c r="X12" s="40"/>
      <c r="Y12" s="42"/>
      <c r="Z12" s="40"/>
      <c r="AA12" s="42"/>
      <c r="AB12" s="45"/>
      <c r="AC12" s="44"/>
      <c r="AD12" s="40"/>
      <c r="AE12" s="41"/>
      <c r="AF12" s="40"/>
      <c r="AG12" s="42"/>
      <c r="AH12" s="40"/>
      <c r="AI12" s="42"/>
      <c r="AJ12" s="45"/>
      <c r="AK12" s="47"/>
      <c r="AL12" s="40"/>
      <c r="AM12" s="41"/>
      <c r="AN12" s="40"/>
      <c r="AO12" s="42"/>
      <c r="AP12" s="40"/>
      <c r="AQ12" s="42"/>
      <c r="AR12" s="43"/>
      <c r="AS12" s="48"/>
      <c r="AT12" s="40"/>
      <c r="AU12" s="45"/>
      <c r="AV12" s="49"/>
      <c r="AW12" s="58"/>
      <c r="AX12" s="59">
        <v>5</v>
      </c>
      <c r="AY12" s="60">
        <v>23000</v>
      </c>
      <c r="AZ12" s="61">
        <v>1500</v>
      </c>
      <c r="BA12" s="61">
        <v>1500</v>
      </c>
      <c r="BB12" s="61">
        <v>400</v>
      </c>
      <c r="BC12" s="62">
        <v>500</v>
      </c>
      <c r="BD12" s="63">
        <v>10000</v>
      </c>
      <c r="BE12" s="64">
        <v>4000</v>
      </c>
      <c r="BF12" s="37">
        <v>40400</v>
      </c>
    </row>
    <row r="13" spans="1:58">
      <c r="A13" s="38" t="s">
        <v>37</v>
      </c>
      <c r="B13" s="39">
        <v>233265</v>
      </c>
      <c r="C13" s="40">
        <v>258308.10174000001</v>
      </c>
      <c r="D13" s="41">
        <v>110.73590197414957</v>
      </c>
      <c r="E13" s="40">
        <v>8</v>
      </c>
      <c r="F13" s="42">
        <v>13.949999999999998</v>
      </c>
      <c r="G13" s="40">
        <v>16</v>
      </c>
      <c r="H13" s="42">
        <v>12.749999999999995</v>
      </c>
      <c r="I13" s="43">
        <v>13.349999999999996</v>
      </c>
      <c r="J13" s="44">
        <v>36687</v>
      </c>
      <c r="K13" s="40">
        <v>39291.491134000004</v>
      </c>
      <c r="L13" s="41">
        <v>107.09922079755772</v>
      </c>
      <c r="M13" s="40">
        <v>8</v>
      </c>
      <c r="N13" s="42">
        <v>13.949999999999998</v>
      </c>
      <c r="O13" s="40">
        <v>19</v>
      </c>
      <c r="P13" s="42">
        <v>12.299999999999994</v>
      </c>
      <c r="Q13" s="45">
        <v>13.124999999999996</v>
      </c>
      <c r="R13" s="46">
        <v>19.968000000000004</v>
      </c>
      <c r="S13" s="40">
        <v>11</v>
      </c>
      <c r="T13" s="43">
        <v>18.000000000000007</v>
      </c>
      <c r="U13" s="44">
        <v>5836</v>
      </c>
      <c r="V13" s="40">
        <v>5628</v>
      </c>
      <c r="W13" s="41">
        <v>96.435915010281022</v>
      </c>
      <c r="X13" s="40">
        <v>7</v>
      </c>
      <c r="Y13" s="42">
        <v>14.099999999999998</v>
      </c>
      <c r="Z13" s="40">
        <v>21</v>
      </c>
      <c r="AA13" s="42">
        <v>11.999999999999993</v>
      </c>
      <c r="AB13" s="45">
        <v>13.049999999999995</v>
      </c>
      <c r="AC13" s="44">
        <v>3678</v>
      </c>
      <c r="AD13" s="40">
        <v>3064</v>
      </c>
      <c r="AE13" s="41">
        <v>83.306144643828162</v>
      </c>
      <c r="AF13" s="40">
        <v>14</v>
      </c>
      <c r="AG13" s="42">
        <v>13.049999999999995</v>
      </c>
      <c r="AH13" s="40">
        <v>20</v>
      </c>
      <c r="AI13" s="42">
        <v>12.149999999999993</v>
      </c>
      <c r="AJ13" s="45">
        <v>12.599999999999994</v>
      </c>
      <c r="AK13" s="47">
        <v>27026.946546454514</v>
      </c>
      <c r="AL13" s="40">
        <v>18180.14</v>
      </c>
      <c r="AM13" s="41">
        <v>67.266718305568006</v>
      </c>
      <c r="AN13" s="40">
        <v>9</v>
      </c>
      <c r="AO13" s="42">
        <v>9.2000000000000028</v>
      </c>
      <c r="AP13" s="40">
        <v>16</v>
      </c>
      <c r="AQ13" s="42">
        <v>8.5000000000000053</v>
      </c>
      <c r="AR13" s="43">
        <v>8.850000000000005</v>
      </c>
      <c r="AS13" s="48">
        <v>7.4680156657963446</v>
      </c>
      <c r="AT13" s="40">
        <v>1</v>
      </c>
      <c r="AU13" s="45">
        <v>10</v>
      </c>
      <c r="AV13" s="49">
        <v>88.975000000000009</v>
      </c>
      <c r="AW13" s="50">
        <v>12</v>
      </c>
      <c r="AX13" s="51">
        <v>8</v>
      </c>
      <c r="AY13" s="52">
        <v>27000</v>
      </c>
      <c r="AZ13" s="53">
        <v>1800</v>
      </c>
      <c r="BA13" s="53">
        <v>1800</v>
      </c>
      <c r="BB13" s="53">
        <v>500</v>
      </c>
      <c r="BC13" s="54">
        <v>600</v>
      </c>
      <c r="BD13" s="55">
        <v>10000</v>
      </c>
      <c r="BE13" s="56">
        <v>5000</v>
      </c>
      <c r="BF13" s="37">
        <v>46650</v>
      </c>
    </row>
    <row r="14" spans="1:58">
      <c r="A14" s="38" t="s">
        <v>38</v>
      </c>
      <c r="B14" s="39">
        <v>434881</v>
      </c>
      <c r="C14" s="40">
        <v>461935.24262799998</v>
      </c>
      <c r="D14" s="41">
        <v>106.22106797675684</v>
      </c>
      <c r="E14" s="40">
        <v>16</v>
      </c>
      <c r="F14" s="42">
        <v>12.749999999999995</v>
      </c>
      <c r="G14" s="40">
        <v>4</v>
      </c>
      <c r="H14" s="42">
        <v>14.549999999999999</v>
      </c>
      <c r="I14" s="43">
        <v>13.649999999999997</v>
      </c>
      <c r="J14" s="44">
        <v>67063</v>
      </c>
      <c r="K14" s="40">
        <v>78374.326675000004</v>
      </c>
      <c r="L14" s="41">
        <v>116.86671737768964</v>
      </c>
      <c r="M14" s="40">
        <v>4</v>
      </c>
      <c r="N14" s="42">
        <v>14.549999999999999</v>
      </c>
      <c r="O14" s="40">
        <v>6</v>
      </c>
      <c r="P14" s="42">
        <v>14.249999999999998</v>
      </c>
      <c r="Q14" s="45">
        <v>14.399999999999999</v>
      </c>
      <c r="R14" s="46">
        <v>19.96</v>
      </c>
      <c r="S14" s="40">
        <v>17</v>
      </c>
      <c r="T14" s="43">
        <v>16.800000000000011</v>
      </c>
      <c r="U14" s="44">
        <v>8801</v>
      </c>
      <c r="V14" s="40">
        <v>8505</v>
      </c>
      <c r="W14" s="41">
        <v>96.636745824338135</v>
      </c>
      <c r="X14" s="40">
        <v>5</v>
      </c>
      <c r="Y14" s="42">
        <v>14.399999999999999</v>
      </c>
      <c r="Z14" s="40">
        <v>9</v>
      </c>
      <c r="AA14" s="42">
        <v>13.799999999999997</v>
      </c>
      <c r="AB14" s="45">
        <v>14.099999999999998</v>
      </c>
      <c r="AC14" s="44">
        <v>5493</v>
      </c>
      <c r="AD14" s="40">
        <v>5529</v>
      </c>
      <c r="AE14" s="41">
        <v>100.65537957400328</v>
      </c>
      <c r="AF14" s="40">
        <v>2</v>
      </c>
      <c r="AG14" s="42">
        <v>14.85</v>
      </c>
      <c r="AH14" s="40">
        <v>4</v>
      </c>
      <c r="AI14" s="42">
        <v>14.549999999999999</v>
      </c>
      <c r="AJ14" s="45">
        <v>14.7</v>
      </c>
      <c r="AK14" s="47">
        <v>46481.533432008931</v>
      </c>
      <c r="AL14" s="40">
        <v>30419</v>
      </c>
      <c r="AM14" s="41">
        <v>65.443193788981873</v>
      </c>
      <c r="AN14" s="40">
        <v>17</v>
      </c>
      <c r="AO14" s="42">
        <v>8.4000000000000057</v>
      </c>
      <c r="AP14" s="40">
        <v>5</v>
      </c>
      <c r="AQ14" s="42">
        <v>9.6000000000000014</v>
      </c>
      <c r="AR14" s="43">
        <v>9.0000000000000036</v>
      </c>
      <c r="AS14" s="48">
        <v>6.6858769121086405</v>
      </c>
      <c r="AT14" s="40">
        <v>24</v>
      </c>
      <c r="AU14" s="45">
        <v>7.7000000000000082</v>
      </c>
      <c r="AV14" s="49">
        <v>90.350000000000009</v>
      </c>
      <c r="AW14" s="50">
        <v>9</v>
      </c>
      <c r="AX14" s="51">
        <v>11</v>
      </c>
      <c r="AY14" s="52">
        <v>30000</v>
      </c>
      <c r="AZ14" s="53">
        <v>2000</v>
      </c>
      <c r="BA14" s="53">
        <v>2700</v>
      </c>
      <c r="BB14" s="53">
        <v>600</v>
      </c>
      <c r="BC14" s="54">
        <v>800</v>
      </c>
      <c r="BD14" s="55">
        <v>12000</v>
      </c>
      <c r="BE14" s="56">
        <v>6000</v>
      </c>
      <c r="BF14" s="37">
        <v>54100</v>
      </c>
    </row>
    <row r="15" spans="1:58">
      <c r="A15" s="38" t="s">
        <v>39</v>
      </c>
      <c r="B15" s="39">
        <v>331000</v>
      </c>
      <c r="C15" s="40">
        <v>362257.84118300001</v>
      </c>
      <c r="D15" s="41">
        <v>109.44345655075529</v>
      </c>
      <c r="E15" s="40">
        <v>9</v>
      </c>
      <c r="F15" s="42">
        <v>13.799999999999997</v>
      </c>
      <c r="G15" s="40">
        <v>7</v>
      </c>
      <c r="H15" s="42">
        <v>14.099999999999998</v>
      </c>
      <c r="I15" s="43">
        <v>13.949999999999998</v>
      </c>
      <c r="J15" s="44">
        <v>77732</v>
      </c>
      <c r="K15" s="40">
        <v>78424.700419000001</v>
      </c>
      <c r="L15" s="41">
        <v>100.8911393235733</v>
      </c>
      <c r="M15" s="40">
        <v>19</v>
      </c>
      <c r="N15" s="42">
        <v>12.299999999999994</v>
      </c>
      <c r="O15" s="40">
        <v>5</v>
      </c>
      <c r="P15" s="42">
        <v>14.399999999999999</v>
      </c>
      <c r="Q15" s="45">
        <v>13.349999999999996</v>
      </c>
      <c r="R15" s="46">
        <v>19.990000000000002</v>
      </c>
      <c r="S15" s="40">
        <v>4</v>
      </c>
      <c r="T15" s="43">
        <v>19.400000000000002</v>
      </c>
      <c r="U15" s="44">
        <v>9630</v>
      </c>
      <c r="V15" s="40">
        <v>9129</v>
      </c>
      <c r="W15" s="41">
        <v>94.797507788161994</v>
      </c>
      <c r="X15" s="40">
        <v>17</v>
      </c>
      <c r="Y15" s="42">
        <v>12.599999999999994</v>
      </c>
      <c r="Z15" s="40">
        <v>6</v>
      </c>
      <c r="AA15" s="42">
        <v>14.249999999999998</v>
      </c>
      <c r="AB15" s="45">
        <v>13.424999999999997</v>
      </c>
      <c r="AC15" s="44">
        <v>6052</v>
      </c>
      <c r="AD15" s="40">
        <v>4901</v>
      </c>
      <c r="AE15" s="41">
        <v>80.981493721083936</v>
      </c>
      <c r="AF15" s="40">
        <v>16</v>
      </c>
      <c r="AG15" s="42">
        <v>12.749999999999995</v>
      </c>
      <c r="AH15" s="40">
        <v>9</v>
      </c>
      <c r="AI15" s="42">
        <v>13.799999999999997</v>
      </c>
      <c r="AJ15" s="45">
        <v>13.274999999999995</v>
      </c>
      <c r="AK15" s="47">
        <v>25101.804766387198</v>
      </c>
      <c r="AL15" s="40">
        <v>16341.58</v>
      </c>
      <c r="AM15" s="41">
        <v>65.101215438829087</v>
      </c>
      <c r="AN15" s="40">
        <v>19</v>
      </c>
      <c r="AO15" s="42">
        <v>8.2000000000000064</v>
      </c>
      <c r="AP15" s="40">
        <v>18</v>
      </c>
      <c r="AQ15" s="42">
        <v>8.300000000000006</v>
      </c>
      <c r="AR15" s="43">
        <v>8.2500000000000071</v>
      </c>
      <c r="AS15" s="48">
        <v>7.2379671738973288</v>
      </c>
      <c r="AT15" s="40">
        <v>6</v>
      </c>
      <c r="AU15" s="45">
        <v>9.5000000000000018</v>
      </c>
      <c r="AV15" s="49">
        <v>91.15</v>
      </c>
      <c r="AW15" s="50">
        <v>5</v>
      </c>
      <c r="AX15" s="51">
        <v>10</v>
      </c>
      <c r="AY15" s="52">
        <v>30000</v>
      </c>
      <c r="AZ15" s="53">
        <v>1900</v>
      </c>
      <c r="BA15" s="53">
        <v>2300</v>
      </c>
      <c r="BB15" s="53">
        <v>600</v>
      </c>
      <c r="BC15" s="54">
        <v>800</v>
      </c>
      <c r="BD15" s="55">
        <v>12000</v>
      </c>
      <c r="BE15" s="56">
        <v>6000</v>
      </c>
      <c r="BF15" s="37">
        <v>53500</v>
      </c>
    </row>
    <row r="16" spans="1:58">
      <c r="A16" s="38" t="s">
        <v>40</v>
      </c>
      <c r="B16" s="39">
        <v>659092</v>
      </c>
      <c r="C16" s="40">
        <v>652458.231455</v>
      </c>
      <c r="D16" s="41">
        <v>98.993498852208802</v>
      </c>
      <c r="E16" s="40">
        <v>24</v>
      </c>
      <c r="F16" s="42">
        <v>11.549999999999992</v>
      </c>
      <c r="G16" s="40">
        <v>1</v>
      </c>
      <c r="H16" s="42">
        <v>15</v>
      </c>
      <c r="I16" s="43">
        <v>13.274999999999995</v>
      </c>
      <c r="J16" s="44">
        <v>47438</v>
      </c>
      <c r="K16" s="40">
        <v>59868.504426</v>
      </c>
      <c r="L16" s="41">
        <v>126.20368570766053</v>
      </c>
      <c r="M16" s="40">
        <v>3</v>
      </c>
      <c r="N16" s="42">
        <v>14.7</v>
      </c>
      <c r="O16" s="40">
        <v>11</v>
      </c>
      <c r="P16" s="42">
        <v>13.499999999999996</v>
      </c>
      <c r="Q16" s="45">
        <v>14.099999999999998</v>
      </c>
      <c r="R16" s="46">
        <v>19.944000000000003</v>
      </c>
      <c r="S16" s="40">
        <v>22</v>
      </c>
      <c r="T16" s="43">
        <v>15.800000000000015</v>
      </c>
      <c r="U16" s="44">
        <v>6720</v>
      </c>
      <c r="V16" s="40">
        <v>6427</v>
      </c>
      <c r="W16" s="41">
        <v>95.639880952380949</v>
      </c>
      <c r="X16" s="40">
        <v>13</v>
      </c>
      <c r="Y16" s="42">
        <v>13.199999999999996</v>
      </c>
      <c r="Z16" s="40">
        <v>17</v>
      </c>
      <c r="AA16" s="42">
        <v>12.599999999999994</v>
      </c>
      <c r="AB16" s="45">
        <v>12.899999999999995</v>
      </c>
      <c r="AC16" s="44">
        <v>4027</v>
      </c>
      <c r="AD16" s="40">
        <v>3570</v>
      </c>
      <c r="AE16" s="41">
        <v>88.651601688601929</v>
      </c>
      <c r="AF16" s="40">
        <v>9</v>
      </c>
      <c r="AG16" s="42">
        <v>13.799999999999997</v>
      </c>
      <c r="AH16" s="40">
        <v>14</v>
      </c>
      <c r="AI16" s="42">
        <v>13.049999999999995</v>
      </c>
      <c r="AJ16" s="45">
        <v>13.424999999999997</v>
      </c>
      <c r="AK16" s="47">
        <v>62196.252460922144</v>
      </c>
      <c r="AL16" s="40">
        <v>40343.370000000003</v>
      </c>
      <c r="AM16" s="41">
        <v>64.864631555329979</v>
      </c>
      <c r="AN16" s="40">
        <v>21</v>
      </c>
      <c r="AO16" s="42">
        <v>8.0000000000000071</v>
      </c>
      <c r="AP16" s="40">
        <v>1</v>
      </c>
      <c r="AQ16" s="42">
        <v>10</v>
      </c>
      <c r="AR16" s="43">
        <v>9.0000000000000036</v>
      </c>
      <c r="AS16" s="48">
        <v>7.0892026291149239</v>
      </c>
      <c r="AT16" s="40">
        <v>13</v>
      </c>
      <c r="AU16" s="45">
        <v>8.8000000000000043</v>
      </c>
      <c r="AV16" s="49">
        <v>87.300000000000011</v>
      </c>
      <c r="AW16" s="50">
        <v>15</v>
      </c>
      <c r="AX16" s="51">
        <v>9</v>
      </c>
      <c r="AY16" s="52">
        <v>27000</v>
      </c>
      <c r="AZ16" s="53">
        <v>1800</v>
      </c>
      <c r="BA16" s="53">
        <v>2000</v>
      </c>
      <c r="BB16" s="53">
        <v>600</v>
      </c>
      <c r="BC16" s="54">
        <v>600</v>
      </c>
      <c r="BD16" s="55">
        <v>10000</v>
      </c>
      <c r="BE16" s="56">
        <v>5000</v>
      </c>
      <c r="BF16" s="37">
        <v>47000</v>
      </c>
    </row>
    <row r="17" spans="1:58">
      <c r="A17" s="38" t="s">
        <v>41</v>
      </c>
      <c r="B17" s="39">
        <v>417802</v>
      </c>
      <c r="C17" s="40">
        <v>445127.02881300001</v>
      </c>
      <c r="D17" s="41">
        <v>106.5401862157194</v>
      </c>
      <c r="E17" s="40">
        <v>14</v>
      </c>
      <c r="F17" s="42">
        <v>13.049999999999995</v>
      </c>
      <c r="G17" s="40">
        <v>5</v>
      </c>
      <c r="H17" s="42">
        <v>14.399999999999999</v>
      </c>
      <c r="I17" s="43">
        <v>13.724999999999998</v>
      </c>
      <c r="J17" s="44">
        <v>87804</v>
      </c>
      <c r="K17" s="40">
        <v>90489.224568999998</v>
      </c>
      <c r="L17" s="41">
        <v>103.05820300783563</v>
      </c>
      <c r="M17" s="40">
        <v>12</v>
      </c>
      <c r="N17" s="42">
        <v>13.349999999999996</v>
      </c>
      <c r="O17" s="40">
        <v>3</v>
      </c>
      <c r="P17" s="42">
        <v>14.7</v>
      </c>
      <c r="Q17" s="45">
        <v>14.024999999999999</v>
      </c>
      <c r="R17" s="46">
        <v>19.994300000000003</v>
      </c>
      <c r="S17" s="40">
        <v>3</v>
      </c>
      <c r="T17" s="43">
        <v>19.600000000000001</v>
      </c>
      <c r="U17" s="44">
        <v>13663</v>
      </c>
      <c r="V17" s="40">
        <v>13459</v>
      </c>
      <c r="W17" s="41">
        <v>98.506916489789944</v>
      </c>
      <c r="X17" s="40">
        <v>2</v>
      </c>
      <c r="Y17" s="42">
        <v>14.85</v>
      </c>
      <c r="Z17" s="40">
        <v>2</v>
      </c>
      <c r="AA17" s="42">
        <v>14.85</v>
      </c>
      <c r="AB17" s="45">
        <v>14.85</v>
      </c>
      <c r="AC17" s="44">
        <v>7927</v>
      </c>
      <c r="AD17" s="40">
        <v>7029</v>
      </c>
      <c r="AE17" s="41">
        <v>88.671628611076073</v>
      </c>
      <c r="AF17" s="40">
        <v>8</v>
      </c>
      <c r="AG17" s="42">
        <v>13.949999999999998</v>
      </c>
      <c r="AH17" s="40">
        <v>2</v>
      </c>
      <c r="AI17" s="42">
        <v>14.85</v>
      </c>
      <c r="AJ17" s="45">
        <v>14.399999999999999</v>
      </c>
      <c r="AK17" s="47">
        <v>43573.167673293116</v>
      </c>
      <c r="AL17" s="40">
        <v>28552.09</v>
      </c>
      <c r="AM17" s="41">
        <v>65.526771461924625</v>
      </c>
      <c r="AN17" s="40">
        <v>16</v>
      </c>
      <c r="AO17" s="42">
        <v>8.5000000000000053</v>
      </c>
      <c r="AP17" s="40">
        <v>7</v>
      </c>
      <c r="AQ17" s="42">
        <v>9.4000000000000021</v>
      </c>
      <c r="AR17" s="43">
        <v>8.9500000000000028</v>
      </c>
      <c r="AS17" s="48">
        <v>7.1950526974821347</v>
      </c>
      <c r="AT17" s="40">
        <v>10</v>
      </c>
      <c r="AU17" s="45">
        <v>9.1000000000000032</v>
      </c>
      <c r="AV17" s="49">
        <v>94.65</v>
      </c>
      <c r="AW17" s="50">
        <v>1</v>
      </c>
      <c r="AX17" s="51">
        <v>16</v>
      </c>
      <c r="AY17" s="52">
        <v>33000</v>
      </c>
      <c r="AZ17" s="53">
        <v>3000</v>
      </c>
      <c r="BA17" s="53">
        <v>3200</v>
      </c>
      <c r="BB17" s="53">
        <v>850</v>
      </c>
      <c r="BC17" s="54">
        <v>1200</v>
      </c>
      <c r="BD17" s="55">
        <v>18000</v>
      </c>
      <c r="BE17" s="56">
        <v>10000</v>
      </c>
      <c r="BF17" s="37">
        <v>69200</v>
      </c>
    </row>
    <row r="18" spans="1:58">
      <c r="A18" s="38" t="s">
        <v>42</v>
      </c>
      <c r="B18" s="39">
        <v>313023</v>
      </c>
      <c r="C18" s="40">
        <v>324221.037381</v>
      </c>
      <c r="D18" s="41">
        <v>103.57738485063398</v>
      </c>
      <c r="E18" s="40">
        <v>21</v>
      </c>
      <c r="F18" s="42">
        <v>11.999999999999993</v>
      </c>
      <c r="G18" s="40">
        <v>9</v>
      </c>
      <c r="H18" s="42">
        <v>13.799999999999997</v>
      </c>
      <c r="I18" s="43">
        <v>12.899999999999995</v>
      </c>
      <c r="J18" s="44">
        <v>75810</v>
      </c>
      <c r="K18" s="40">
        <v>77571.460693000001</v>
      </c>
      <c r="L18" s="41">
        <v>102.32352023875478</v>
      </c>
      <c r="M18" s="40">
        <v>15</v>
      </c>
      <c r="N18" s="42">
        <v>12.899999999999995</v>
      </c>
      <c r="O18" s="40">
        <v>7</v>
      </c>
      <c r="P18" s="42">
        <v>14.099999999999998</v>
      </c>
      <c r="Q18" s="45">
        <v>13.499999999999996</v>
      </c>
      <c r="R18" s="46">
        <v>19.950000000000003</v>
      </c>
      <c r="S18" s="40">
        <v>19</v>
      </c>
      <c r="T18" s="43">
        <v>16.400000000000013</v>
      </c>
      <c r="U18" s="44">
        <v>13020</v>
      </c>
      <c r="V18" s="40">
        <v>12436</v>
      </c>
      <c r="W18" s="41">
        <v>95.514592933947782</v>
      </c>
      <c r="X18" s="40">
        <v>15</v>
      </c>
      <c r="Y18" s="42">
        <v>12.899999999999995</v>
      </c>
      <c r="Z18" s="40">
        <v>3</v>
      </c>
      <c r="AA18" s="42">
        <v>14.7</v>
      </c>
      <c r="AB18" s="45">
        <v>13.799999999999997</v>
      </c>
      <c r="AC18" s="44">
        <v>6941</v>
      </c>
      <c r="AD18" s="40">
        <v>5475</v>
      </c>
      <c r="AE18" s="41">
        <v>78.879124045526581</v>
      </c>
      <c r="AF18" s="40">
        <v>18</v>
      </c>
      <c r="AG18" s="42">
        <v>12.449999999999994</v>
      </c>
      <c r="AH18" s="40">
        <v>5</v>
      </c>
      <c r="AI18" s="42">
        <v>14.399999999999999</v>
      </c>
      <c r="AJ18" s="45">
        <v>13.424999999999997</v>
      </c>
      <c r="AK18" s="47">
        <v>30705.274891705791</v>
      </c>
      <c r="AL18" s="40">
        <v>20427.48</v>
      </c>
      <c r="AM18" s="41">
        <v>66.527591992078001</v>
      </c>
      <c r="AN18" s="40">
        <v>11</v>
      </c>
      <c r="AO18" s="42">
        <v>9.0000000000000036</v>
      </c>
      <c r="AP18" s="40">
        <v>12</v>
      </c>
      <c r="AQ18" s="42">
        <v>8.9000000000000039</v>
      </c>
      <c r="AR18" s="43">
        <v>8.9500000000000028</v>
      </c>
      <c r="AS18" s="48">
        <v>7.3320808948297955</v>
      </c>
      <c r="AT18" s="40">
        <v>2</v>
      </c>
      <c r="AU18" s="45">
        <v>9.9</v>
      </c>
      <c r="AV18" s="49">
        <v>88.875000000000014</v>
      </c>
      <c r="AW18" s="50">
        <v>13</v>
      </c>
      <c r="AX18" s="51">
        <v>14</v>
      </c>
      <c r="AY18" s="52">
        <v>27000</v>
      </c>
      <c r="AZ18" s="53">
        <v>3000</v>
      </c>
      <c r="BA18" s="53">
        <v>2800</v>
      </c>
      <c r="BB18" s="53">
        <v>700</v>
      </c>
      <c r="BC18" s="54">
        <v>600</v>
      </c>
      <c r="BD18" s="55">
        <v>10000</v>
      </c>
      <c r="BE18" s="56">
        <v>5000</v>
      </c>
      <c r="BF18" s="37">
        <v>49100</v>
      </c>
    </row>
    <row r="19" spans="1:58">
      <c r="A19" s="38" t="s">
        <v>43</v>
      </c>
      <c r="B19" s="39">
        <v>283652</v>
      </c>
      <c r="C19" s="40">
        <v>300503.047058</v>
      </c>
      <c r="D19" s="41">
        <v>105.94074678056209</v>
      </c>
      <c r="E19" s="40">
        <v>17</v>
      </c>
      <c r="F19" s="42">
        <v>12.599999999999994</v>
      </c>
      <c r="G19" s="40">
        <v>11</v>
      </c>
      <c r="H19" s="42">
        <v>13.499999999999996</v>
      </c>
      <c r="I19" s="43">
        <v>13.049999999999995</v>
      </c>
      <c r="J19" s="44">
        <v>44632</v>
      </c>
      <c r="K19" s="40">
        <v>46036.287956</v>
      </c>
      <c r="L19" s="41">
        <v>103.14637021867719</v>
      </c>
      <c r="M19" s="40">
        <v>11</v>
      </c>
      <c r="N19" s="42">
        <v>13.499999999999996</v>
      </c>
      <c r="O19" s="40">
        <v>15</v>
      </c>
      <c r="P19" s="42">
        <v>12.899999999999995</v>
      </c>
      <c r="Q19" s="45">
        <v>13.199999999999996</v>
      </c>
      <c r="R19" s="46">
        <v>19.968</v>
      </c>
      <c r="S19" s="40">
        <v>12</v>
      </c>
      <c r="T19" s="43">
        <v>17.800000000000008</v>
      </c>
      <c r="U19" s="44">
        <v>8014</v>
      </c>
      <c r="V19" s="40">
        <v>7368</v>
      </c>
      <c r="W19" s="41">
        <v>91.939106563513846</v>
      </c>
      <c r="X19" s="40">
        <v>20</v>
      </c>
      <c r="Y19" s="42">
        <v>12.149999999999993</v>
      </c>
      <c r="Z19" s="40">
        <v>13</v>
      </c>
      <c r="AA19" s="42">
        <v>13.199999999999996</v>
      </c>
      <c r="AB19" s="45">
        <v>12.674999999999994</v>
      </c>
      <c r="AC19" s="44">
        <v>4450</v>
      </c>
      <c r="AD19" s="40">
        <v>3117</v>
      </c>
      <c r="AE19" s="41">
        <v>70.044943820224717</v>
      </c>
      <c r="AF19" s="40">
        <v>21</v>
      </c>
      <c r="AG19" s="42">
        <v>11.999999999999993</v>
      </c>
      <c r="AH19" s="40">
        <v>18</v>
      </c>
      <c r="AI19" s="42">
        <v>12.449999999999994</v>
      </c>
      <c r="AJ19" s="45">
        <v>12.224999999999994</v>
      </c>
      <c r="AK19" s="47">
        <v>41808.627543525603</v>
      </c>
      <c r="AL19" s="40">
        <v>29795.9</v>
      </c>
      <c r="AM19" s="41">
        <v>71.267347795572718</v>
      </c>
      <c r="AN19" s="40">
        <v>3</v>
      </c>
      <c r="AO19" s="42">
        <v>9.8000000000000007</v>
      </c>
      <c r="AP19" s="40">
        <v>6</v>
      </c>
      <c r="AQ19" s="42">
        <v>9.5000000000000018</v>
      </c>
      <c r="AR19" s="43">
        <v>9.6500000000000021</v>
      </c>
      <c r="AS19" s="48">
        <v>6.7627551066399771</v>
      </c>
      <c r="AT19" s="40">
        <v>22</v>
      </c>
      <c r="AU19" s="45">
        <v>7.9000000000000075</v>
      </c>
      <c r="AV19" s="49">
        <v>86.5</v>
      </c>
      <c r="AW19" s="50">
        <v>18</v>
      </c>
      <c r="AX19" s="51">
        <v>9</v>
      </c>
      <c r="AY19" s="52">
        <v>25000</v>
      </c>
      <c r="AZ19" s="53">
        <v>1800</v>
      </c>
      <c r="BA19" s="53">
        <v>2000</v>
      </c>
      <c r="BB19" s="53">
        <v>600</v>
      </c>
      <c r="BC19" s="54">
        <v>550</v>
      </c>
      <c r="BD19" s="55">
        <v>8000</v>
      </c>
      <c r="BE19" s="56">
        <v>4500</v>
      </c>
      <c r="BF19" s="37">
        <v>42400</v>
      </c>
    </row>
    <row r="20" spans="1:58">
      <c r="A20" s="38" t="s">
        <v>44</v>
      </c>
      <c r="B20" s="39">
        <v>235233</v>
      </c>
      <c r="C20" s="40">
        <v>249995.120065</v>
      </c>
      <c r="D20" s="41">
        <v>106.27553109682741</v>
      </c>
      <c r="E20" s="40">
        <v>15</v>
      </c>
      <c r="F20" s="42">
        <v>12.899999999999995</v>
      </c>
      <c r="G20" s="40">
        <v>17</v>
      </c>
      <c r="H20" s="42">
        <v>12.599999999999994</v>
      </c>
      <c r="I20" s="43">
        <v>12.749999999999995</v>
      </c>
      <c r="J20" s="44">
        <v>45481</v>
      </c>
      <c r="K20" s="40">
        <v>45728.475290000002</v>
      </c>
      <c r="L20" s="41">
        <v>100.54412895494822</v>
      </c>
      <c r="M20" s="40">
        <v>21</v>
      </c>
      <c r="N20" s="42">
        <v>11.999999999999993</v>
      </c>
      <c r="O20" s="40">
        <v>16</v>
      </c>
      <c r="P20" s="42">
        <v>12.749999999999995</v>
      </c>
      <c r="Q20" s="45">
        <v>12.374999999999993</v>
      </c>
      <c r="R20" s="46">
        <v>19.965800000000002</v>
      </c>
      <c r="S20" s="40">
        <v>13</v>
      </c>
      <c r="T20" s="43">
        <v>17.600000000000009</v>
      </c>
      <c r="U20" s="44">
        <v>6221</v>
      </c>
      <c r="V20" s="40">
        <v>5984</v>
      </c>
      <c r="W20" s="41">
        <v>96.190323099180191</v>
      </c>
      <c r="X20" s="40">
        <v>9</v>
      </c>
      <c r="Y20" s="42">
        <v>13.799999999999997</v>
      </c>
      <c r="Z20" s="40">
        <v>19</v>
      </c>
      <c r="AA20" s="42">
        <v>12.299999999999994</v>
      </c>
      <c r="AB20" s="45">
        <v>13.049999999999995</v>
      </c>
      <c r="AC20" s="44">
        <v>3902</v>
      </c>
      <c r="AD20" s="40">
        <v>3378</v>
      </c>
      <c r="AE20" s="41">
        <v>86.57098923628908</v>
      </c>
      <c r="AF20" s="40">
        <v>11</v>
      </c>
      <c r="AG20" s="42">
        <v>13.499999999999996</v>
      </c>
      <c r="AH20" s="40">
        <v>16</v>
      </c>
      <c r="AI20" s="42">
        <v>12.749999999999995</v>
      </c>
      <c r="AJ20" s="45">
        <v>13.124999999999996</v>
      </c>
      <c r="AK20" s="47">
        <v>24654.191237875955</v>
      </c>
      <c r="AL20" s="40">
        <v>16020.38</v>
      </c>
      <c r="AM20" s="41">
        <v>64.980350989522918</v>
      </c>
      <c r="AN20" s="40">
        <v>20</v>
      </c>
      <c r="AO20" s="42">
        <v>8.1000000000000068</v>
      </c>
      <c r="AP20" s="40">
        <v>20</v>
      </c>
      <c r="AQ20" s="42">
        <v>8.1000000000000068</v>
      </c>
      <c r="AR20" s="43">
        <v>8.1000000000000068</v>
      </c>
      <c r="AS20" s="48">
        <v>6.7462827934985894</v>
      </c>
      <c r="AT20" s="40">
        <v>23</v>
      </c>
      <c r="AU20" s="45">
        <v>7.8000000000000078</v>
      </c>
      <c r="AV20" s="49">
        <v>84.800000000000011</v>
      </c>
      <c r="AW20" s="50">
        <v>21</v>
      </c>
      <c r="AX20" s="51">
        <v>10</v>
      </c>
      <c r="AY20" s="52">
        <v>23000</v>
      </c>
      <c r="AZ20" s="53">
        <v>1900</v>
      </c>
      <c r="BA20" s="53">
        <v>2200</v>
      </c>
      <c r="BB20" s="53">
        <v>600</v>
      </c>
      <c r="BC20" s="54">
        <v>500</v>
      </c>
      <c r="BD20" s="55">
        <v>7000</v>
      </c>
      <c r="BE20" s="56">
        <v>4000</v>
      </c>
      <c r="BF20" s="37">
        <v>39100</v>
      </c>
    </row>
    <row r="21" spans="1:58">
      <c r="A21" s="38" t="s">
        <v>45</v>
      </c>
      <c r="B21" s="39">
        <v>136542</v>
      </c>
      <c r="C21" s="40">
        <v>151738.44518899999</v>
      </c>
      <c r="D21" s="41">
        <v>111.12950241610639</v>
      </c>
      <c r="E21" s="40">
        <v>6</v>
      </c>
      <c r="F21" s="42">
        <v>14.249999999999998</v>
      </c>
      <c r="G21" s="40">
        <v>23</v>
      </c>
      <c r="H21" s="42">
        <v>11.699999999999992</v>
      </c>
      <c r="I21" s="43">
        <v>12.974999999999994</v>
      </c>
      <c r="J21" s="44">
        <v>45129</v>
      </c>
      <c r="K21" s="40">
        <v>44943.262193000002</v>
      </c>
      <c r="L21" s="41">
        <v>99.588429154202402</v>
      </c>
      <c r="M21" s="40">
        <v>24</v>
      </c>
      <c r="N21" s="42">
        <v>11.549999999999992</v>
      </c>
      <c r="O21" s="40">
        <v>17</v>
      </c>
      <c r="P21" s="42">
        <v>12.599999999999994</v>
      </c>
      <c r="Q21" s="45">
        <v>12.074999999999992</v>
      </c>
      <c r="R21" s="46">
        <v>19.965800000000002</v>
      </c>
      <c r="S21" s="40">
        <v>13</v>
      </c>
      <c r="T21" s="43">
        <v>17.600000000000009</v>
      </c>
      <c r="U21" s="44">
        <v>7807</v>
      </c>
      <c r="V21" s="40">
        <v>7086</v>
      </c>
      <c r="W21" s="41">
        <v>90.764698347636738</v>
      </c>
      <c r="X21" s="40">
        <v>22</v>
      </c>
      <c r="Y21" s="42">
        <v>11.849999999999993</v>
      </c>
      <c r="Z21" s="40">
        <v>14</v>
      </c>
      <c r="AA21" s="42">
        <v>13.049999999999995</v>
      </c>
      <c r="AB21" s="45">
        <v>12.449999999999994</v>
      </c>
      <c r="AC21" s="44">
        <v>3938</v>
      </c>
      <c r="AD21" s="40">
        <v>2715</v>
      </c>
      <c r="AE21" s="41">
        <v>68.943626206196029</v>
      </c>
      <c r="AF21" s="40">
        <v>22</v>
      </c>
      <c r="AG21" s="42">
        <v>11.849999999999993</v>
      </c>
      <c r="AH21" s="40">
        <v>23</v>
      </c>
      <c r="AI21" s="42">
        <v>11.699999999999992</v>
      </c>
      <c r="AJ21" s="45">
        <v>11.774999999999991</v>
      </c>
      <c r="AK21" s="47">
        <v>14227.956130137785</v>
      </c>
      <c r="AL21" s="40">
        <v>9450.3799999999992</v>
      </c>
      <c r="AM21" s="41">
        <v>66.421205643037652</v>
      </c>
      <c r="AN21" s="40">
        <v>12</v>
      </c>
      <c r="AO21" s="42">
        <v>8.9000000000000039</v>
      </c>
      <c r="AP21" s="40">
        <v>23</v>
      </c>
      <c r="AQ21" s="42">
        <v>7.8000000000000078</v>
      </c>
      <c r="AR21" s="43">
        <v>8.350000000000005</v>
      </c>
      <c r="AS21" s="48">
        <v>6.9059875836032267</v>
      </c>
      <c r="AT21" s="40">
        <v>19</v>
      </c>
      <c r="AU21" s="45">
        <v>8.2000000000000064</v>
      </c>
      <c r="AV21" s="49">
        <v>83.424999999999983</v>
      </c>
      <c r="AW21" s="50">
        <v>24</v>
      </c>
      <c r="AX21" s="51">
        <v>6</v>
      </c>
      <c r="AY21" s="52">
        <v>23000</v>
      </c>
      <c r="AZ21" s="53">
        <v>1500</v>
      </c>
      <c r="BA21" s="53">
        <v>1500</v>
      </c>
      <c r="BB21" s="53">
        <v>500</v>
      </c>
      <c r="BC21" s="54">
        <v>500</v>
      </c>
      <c r="BD21" s="55">
        <v>7000</v>
      </c>
      <c r="BE21" s="56">
        <v>4000</v>
      </c>
      <c r="BF21" s="37">
        <v>37600</v>
      </c>
    </row>
    <row r="22" spans="1:58">
      <c r="A22" s="38" t="s">
        <v>46</v>
      </c>
      <c r="B22" s="39">
        <v>214468</v>
      </c>
      <c r="C22" s="40">
        <v>224448.34965300001</v>
      </c>
      <c r="D22" s="41">
        <v>104.65353789516386</v>
      </c>
      <c r="E22" s="40">
        <v>18</v>
      </c>
      <c r="F22" s="42">
        <v>12.449999999999994</v>
      </c>
      <c r="G22" s="40">
        <v>18</v>
      </c>
      <c r="H22" s="42">
        <v>12.449999999999994</v>
      </c>
      <c r="I22" s="43">
        <v>12.449999999999994</v>
      </c>
      <c r="J22" s="44">
        <v>40058</v>
      </c>
      <c r="K22" s="40">
        <v>39932.867910000001</v>
      </c>
      <c r="L22" s="41">
        <v>99.687622722053035</v>
      </c>
      <c r="M22" s="40">
        <v>22</v>
      </c>
      <c r="N22" s="42">
        <v>11.849999999999993</v>
      </c>
      <c r="O22" s="40">
        <v>18</v>
      </c>
      <c r="P22" s="42">
        <v>12.449999999999994</v>
      </c>
      <c r="Q22" s="45">
        <v>12.149999999999993</v>
      </c>
      <c r="R22" s="46">
        <v>19.965800000000002</v>
      </c>
      <c r="S22" s="40">
        <v>13</v>
      </c>
      <c r="T22" s="43">
        <v>17.600000000000009</v>
      </c>
      <c r="U22" s="44">
        <v>5848</v>
      </c>
      <c r="V22" s="40">
        <v>5642</v>
      </c>
      <c r="W22" s="41">
        <v>96.477428180574563</v>
      </c>
      <c r="X22" s="40">
        <v>6</v>
      </c>
      <c r="Y22" s="42">
        <v>14.249999999999998</v>
      </c>
      <c r="Z22" s="40">
        <v>20</v>
      </c>
      <c r="AA22" s="42">
        <v>12.149999999999993</v>
      </c>
      <c r="AB22" s="45">
        <v>13.199999999999996</v>
      </c>
      <c r="AC22" s="44">
        <v>3449</v>
      </c>
      <c r="AD22" s="40">
        <v>3072</v>
      </c>
      <c r="AE22" s="41">
        <v>89.069295447955923</v>
      </c>
      <c r="AF22" s="40">
        <v>7</v>
      </c>
      <c r="AG22" s="42">
        <v>14.099999999999998</v>
      </c>
      <c r="AH22" s="40">
        <v>19</v>
      </c>
      <c r="AI22" s="42">
        <v>12.299999999999994</v>
      </c>
      <c r="AJ22" s="45">
        <v>13.199999999999996</v>
      </c>
      <c r="AK22" s="47">
        <v>21063.26544771979</v>
      </c>
      <c r="AL22" s="40">
        <v>15050.44</v>
      </c>
      <c r="AM22" s="41">
        <v>71.453498211642639</v>
      </c>
      <c r="AN22" s="40">
        <v>2</v>
      </c>
      <c r="AO22" s="42">
        <v>9.9</v>
      </c>
      <c r="AP22" s="40">
        <v>21</v>
      </c>
      <c r="AQ22" s="42">
        <v>8.0000000000000071</v>
      </c>
      <c r="AR22" s="43">
        <v>8.9500000000000028</v>
      </c>
      <c r="AS22" s="48">
        <v>6.8538240369339007</v>
      </c>
      <c r="AT22" s="40">
        <v>21</v>
      </c>
      <c r="AU22" s="45">
        <v>8.0000000000000071</v>
      </c>
      <c r="AV22" s="49">
        <v>85.550000000000011</v>
      </c>
      <c r="AW22" s="50">
        <v>19</v>
      </c>
      <c r="AX22" s="51">
        <v>7</v>
      </c>
      <c r="AY22" s="52">
        <v>25000</v>
      </c>
      <c r="AZ22" s="53">
        <v>1500</v>
      </c>
      <c r="BA22" s="53">
        <v>1500</v>
      </c>
      <c r="BB22" s="53">
        <v>500</v>
      </c>
      <c r="BC22" s="54">
        <v>550</v>
      </c>
      <c r="BD22" s="55">
        <v>8000</v>
      </c>
      <c r="BE22" s="56">
        <v>4500</v>
      </c>
      <c r="BF22" s="37">
        <v>41550</v>
      </c>
    </row>
    <row r="23" spans="1:58">
      <c r="A23" s="38" t="s">
        <v>47</v>
      </c>
      <c r="B23" s="39">
        <v>290939</v>
      </c>
      <c r="C23" s="40">
        <v>297828.35026099999</v>
      </c>
      <c r="D23" s="41">
        <v>102.36797069523165</v>
      </c>
      <c r="E23" s="40">
        <v>22</v>
      </c>
      <c r="F23" s="42">
        <v>11.849999999999993</v>
      </c>
      <c r="G23" s="40">
        <v>12</v>
      </c>
      <c r="H23" s="42">
        <v>13.349999999999996</v>
      </c>
      <c r="I23" s="43">
        <v>12.599999999999994</v>
      </c>
      <c r="J23" s="44">
        <v>27673</v>
      </c>
      <c r="K23" s="40">
        <v>32018.715564999999</v>
      </c>
      <c r="L23" s="41">
        <v>115.70381080836916</v>
      </c>
      <c r="M23" s="40">
        <v>5</v>
      </c>
      <c r="N23" s="42">
        <v>14.399999999999999</v>
      </c>
      <c r="O23" s="40">
        <v>24</v>
      </c>
      <c r="P23" s="42">
        <v>11.549999999999992</v>
      </c>
      <c r="Q23" s="45">
        <v>12.974999999999994</v>
      </c>
      <c r="R23" s="46">
        <v>19.936</v>
      </c>
      <c r="S23" s="40">
        <v>23</v>
      </c>
      <c r="T23" s="43">
        <v>15.600000000000016</v>
      </c>
      <c r="U23" s="44">
        <v>6358</v>
      </c>
      <c r="V23" s="40">
        <v>6316</v>
      </c>
      <c r="W23" s="41">
        <v>99.339414910349163</v>
      </c>
      <c r="X23" s="40">
        <v>1</v>
      </c>
      <c r="Y23" s="42">
        <v>15</v>
      </c>
      <c r="Z23" s="40">
        <v>18</v>
      </c>
      <c r="AA23" s="42">
        <v>12.449999999999994</v>
      </c>
      <c r="AB23" s="45">
        <v>13.724999999999998</v>
      </c>
      <c r="AC23" s="44">
        <v>3390</v>
      </c>
      <c r="AD23" s="40">
        <v>3191</v>
      </c>
      <c r="AE23" s="41">
        <v>94.12979351032449</v>
      </c>
      <c r="AF23" s="40">
        <v>5</v>
      </c>
      <c r="AG23" s="42">
        <v>14.399999999999999</v>
      </c>
      <c r="AH23" s="40">
        <v>17</v>
      </c>
      <c r="AI23" s="42">
        <v>12.599999999999994</v>
      </c>
      <c r="AJ23" s="45">
        <v>13.499999999999996</v>
      </c>
      <c r="AK23" s="47">
        <v>53514.332545825477</v>
      </c>
      <c r="AL23" s="40">
        <v>35104.26</v>
      </c>
      <c r="AM23" s="41">
        <v>65.597865711843582</v>
      </c>
      <c r="AN23" s="40">
        <v>15</v>
      </c>
      <c r="AO23" s="42">
        <v>8.600000000000005</v>
      </c>
      <c r="AP23" s="40">
        <v>2</v>
      </c>
      <c r="AQ23" s="42">
        <v>9.9</v>
      </c>
      <c r="AR23" s="43">
        <v>9.2500000000000036</v>
      </c>
      <c r="AS23" s="48">
        <v>7.2095131577971454</v>
      </c>
      <c r="AT23" s="40">
        <v>8</v>
      </c>
      <c r="AU23" s="45">
        <v>9.3000000000000025</v>
      </c>
      <c r="AV23" s="49">
        <v>86.95</v>
      </c>
      <c r="AW23" s="50">
        <v>17</v>
      </c>
      <c r="AX23" s="51">
        <v>6</v>
      </c>
      <c r="AY23" s="52">
        <v>25000</v>
      </c>
      <c r="AZ23" s="53">
        <v>1500</v>
      </c>
      <c r="BA23" s="53">
        <v>1500</v>
      </c>
      <c r="BB23" s="53">
        <v>500</v>
      </c>
      <c r="BC23" s="54">
        <v>550</v>
      </c>
      <c r="BD23" s="55">
        <v>8000</v>
      </c>
      <c r="BE23" s="56">
        <v>4500</v>
      </c>
      <c r="BF23" s="37">
        <v>41150</v>
      </c>
    </row>
    <row r="24" spans="1:58">
      <c r="A24" s="38" t="s">
        <v>48</v>
      </c>
      <c r="B24" s="39">
        <v>131656</v>
      </c>
      <c r="C24" s="40">
        <v>143413.31129300001</v>
      </c>
      <c r="D24" s="41">
        <v>108.93032698319865</v>
      </c>
      <c r="E24" s="40">
        <v>12</v>
      </c>
      <c r="F24" s="42">
        <v>13.349999999999996</v>
      </c>
      <c r="G24" s="40">
        <v>24</v>
      </c>
      <c r="H24" s="42">
        <v>11.549999999999992</v>
      </c>
      <c r="I24" s="43">
        <v>12.449999999999994</v>
      </c>
      <c r="J24" s="44">
        <v>31530</v>
      </c>
      <c r="K24" s="40">
        <v>32493.931734999998</v>
      </c>
      <c r="L24" s="41">
        <v>103.05718913732952</v>
      </c>
      <c r="M24" s="40">
        <v>13</v>
      </c>
      <c r="N24" s="42">
        <v>13.199999999999996</v>
      </c>
      <c r="O24" s="40">
        <v>23</v>
      </c>
      <c r="P24" s="42">
        <v>11.699999999999992</v>
      </c>
      <c r="Q24" s="45">
        <v>12.449999999999994</v>
      </c>
      <c r="R24" s="46">
        <v>19.982900000000001</v>
      </c>
      <c r="S24" s="40">
        <v>6</v>
      </c>
      <c r="T24" s="43">
        <v>19.000000000000004</v>
      </c>
      <c r="U24" s="44">
        <v>6012</v>
      </c>
      <c r="V24" s="40">
        <v>5453</v>
      </c>
      <c r="W24" s="41">
        <v>90.701929474384571</v>
      </c>
      <c r="X24" s="40">
        <v>23</v>
      </c>
      <c r="Y24" s="42">
        <v>11.699999999999992</v>
      </c>
      <c r="Z24" s="40">
        <v>23</v>
      </c>
      <c r="AA24" s="42">
        <v>11.699999999999992</v>
      </c>
      <c r="AB24" s="45">
        <v>11.699999999999992</v>
      </c>
      <c r="AC24" s="44">
        <v>4055</v>
      </c>
      <c r="AD24" s="40">
        <v>2917</v>
      </c>
      <c r="AE24" s="41">
        <v>71.935881627620233</v>
      </c>
      <c r="AF24" s="40">
        <v>19</v>
      </c>
      <c r="AG24" s="42">
        <v>12.299999999999994</v>
      </c>
      <c r="AH24" s="40">
        <v>22</v>
      </c>
      <c r="AI24" s="42">
        <v>11.849999999999993</v>
      </c>
      <c r="AJ24" s="45">
        <v>12.074999999999992</v>
      </c>
      <c r="AK24" s="47">
        <v>24521.122861530526</v>
      </c>
      <c r="AL24" s="40">
        <v>16320.4</v>
      </c>
      <c r="AM24" s="41">
        <v>66.556495361816943</v>
      </c>
      <c r="AN24" s="40">
        <v>10</v>
      </c>
      <c r="AO24" s="42">
        <v>9.1000000000000032</v>
      </c>
      <c r="AP24" s="40">
        <v>19</v>
      </c>
      <c r="AQ24" s="42">
        <v>8.2000000000000064</v>
      </c>
      <c r="AR24" s="43">
        <v>8.6500000000000057</v>
      </c>
      <c r="AS24" s="48">
        <v>7.0926249806302657</v>
      </c>
      <c r="AT24" s="40">
        <v>12</v>
      </c>
      <c r="AU24" s="45">
        <v>8.9000000000000039</v>
      </c>
      <c r="AV24" s="49">
        <v>85.22499999999998</v>
      </c>
      <c r="AW24" s="50">
        <v>20</v>
      </c>
      <c r="AX24" s="51">
        <v>11</v>
      </c>
      <c r="AY24" s="52">
        <v>25000</v>
      </c>
      <c r="AZ24" s="53">
        <v>2000</v>
      </c>
      <c r="BA24" s="53">
        <v>2500</v>
      </c>
      <c r="BB24" s="53">
        <v>600</v>
      </c>
      <c r="BC24" s="54">
        <v>550</v>
      </c>
      <c r="BD24" s="55">
        <v>8000</v>
      </c>
      <c r="BE24" s="56">
        <v>4500</v>
      </c>
      <c r="BF24" s="37">
        <v>43150</v>
      </c>
    </row>
    <row r="25" spans="1:58">
      <c r="A25" s="38" t="s">
        <v>49</v>
      </c>
      <c r="B25" s="39">
        <v>337252</v>
      </c>
      <c r="C25" s="40">
        <v>376938.99452000001</v>
      </c>
      <c r="D25" s="41">
        <v>111.76775660930106</v>
      </c>
      <c r="E25" s="40">
        <v>5</v>
      </c>
      <c r="F25" s="42">
        <v>14.399999999999999</v>
      </c>
      <c r="G25" s="40">
        <v>6</v>
      </c>
      <c r="H25" s="42">
        <v>14.249999999999998</v>
      </c>
      <c r="I25" s="43">
        <v>14.324999999999999</v>
      </c>
      <c r="J25" s="44">
        <v>75695</v>
      </c>
      <c r="K25" s="40">
        <v>76901.198606999998</v>
      </c>
      <c r="L25" s="41">
        <v>101.59349839091088</v>
      </c>
      <c r="M25" s="40">
        <v>17</v>
      </c>
      <c r="N25" s="42">
        <v>12.599999999999994</v>
      </c>
      <c r="O25" s="40">
        <v>8</v>
      </c>
      <c r="P25" s="42">
        <v>13.949999999999998</v>
      </c>
      <c r="Q25" s="45">
        <v>13.274999999999995</v>
      </c>
      <c r="R25" s="46">
        <v>19.95</v>
      </c>
      <c r="S25" s="40">
        <v>20</v>
      </c>
      <c r="T25" s="43">
        <v>16.200000000000014</v>
      </c>
      <c r="U25" s="44">
        <v>8979</v>
      </c>
      <c r="V25" s="40">
        <v>8618</v>
      </c>
      <c r="W25" s="41">
        <v>95.97950774028287</v>
      </c>
      <c r="X25" s="40">
        <v>11</v>
      </c>
      <c r="Y25" s="42">
        <v>13.499999999999996</v>
      </c>
      <c r="Z25" s="40">
        <v>8</v>
      </c>
      <c r="AA25" s="42">
        <v>13.949999999999998</v>
      </c>
      <c r="AB25" s="45">
        <v>13.724999999999998</v>
      </c>
      <c r="AC25" s="44">
        <v>6075.9999999999991</v>
      </c>
      <c r="AD25" s="40">
        <v>5088</v>
      </c>
      <c r="AE25" s="41">
        <v>83.739302172481914</v>
      </c>
      <c r="AF25" s="40">
        <v>13</v>
      </c>
      <c r="AG25" s="42">
        <v>13.199999999999996</v>
      </c>
      <c r="AH25" s="40">
        <v>6</v>
      </c>
      <c r="AI25" s="42">
        <v>14.249999999999998</v>
      </c>
      <c r="AJ25" s="45">
        <v>13.724999999999998</v>
      </c>
      <c r="AK25" s="47">
        <v>37181.198470123221</v>
      </c>
      <c r="AL25" s="40">
        <v>27369.88</v>
      </c>
      <c r="AM25" s="41">
        <v>73.612151103716954</v>
      </c>
      <c r="AN25" s="40">
        <v>1</v>
      </c>
      <c r="AO25" s="42">
        <v>10</v>
      </c>
      <c r="AP25" s="40">
        <v>8</v>
      </c>
      <c r="AQ25" s="42">
        <v>9.3000000000000025</v>
      </c>
      <c r="AR25" s="43">
        <v>9.6500000000000021</v>
      </c>
      <c r="AS25" s="48">
        <v>7.2000122335653618</v>
      </c>
      <c r="AT25" s="40">
        <v>9</v>
      </c>
      <c r="AU25" s="45">
        <v>9.2000000000000028</v>
      </c>
      <c r="AV25" s="49">
        <v>90.100000000000009</v>
      </c>
      <c r="AW25" s="50">
        <v>11</v>
      </c>
      <c r="AX25" s="51">
        <v>19</v>
      </c>
      <c r="AY25" s="52">
        <v>30000</v>
      </c>
      <c r="AZ25" s="53">
        <v>3300</v>
      </c>
      <c r="BA25" s="53">
        <v>3200</v>
      </c>
      <c r="BB25" s="53">
        <v>900</v>
      </c>
      <c r="BC25" s="54">
        <v>800</v>
      </c>
      <c r="BD25" s="55">
        <v>12000</v>
      </c>
      <c r="BE25" s="56">
        <v>6000</v>
      </c>
      <c r="BF25" s="37">
        <v>56450</v>
      </c>
    </row>
    <row r="26" spans="1:58">
      <c r="A26" s="38" t="s">
        <v>50</v>
      </c>
      <c r="B26" s="39">
        <v>178878</v>
      </c>
      <c r="C26" s="40">
        <v>195598.574849</v>
      </c>
      <c r="D26" s="41">
        <v>109.34747417178188</v>
      </c>
      <c r="E26" s="40">
        <v>10</v>
      </c>
      <c r="F26" s="42">
        <v>13.649999999999997</v>
      </c>
      <c r="G26" s="40">
        <v>20</v>
      </c>
      <c r="H26" s="42">
        <v>12.149999999999993</v>
      </c>
      <c r="I26" s="43">
        <v>12.899999999999995</v>
      </c>
      <c r="J26" s="44">
        <v>36886</v>
      </c>
      <c r="K26" s="40">
        <v>37121.645983000002</v>
      </c>
      <c r="L26" s="41">
        <v>100.63884938187931</v>
      </c>
      <c r="M26" s="40">
        <v>20</v>
      </c>
      <c r="N26" s="42">
        <v>12.149999999999993</v>
      </c>
      <c r="O26" s="40">
        <v>21</v>
      </c>
      <c r="P26" s="42">
        <v>11.999999999999993</v>
      </c>
      <c r="Q26" s="45">
        <v>12.074999999999992</v>
      </c>
      <c r="R26" s="46">
        <v>19.920000000000002</v>
      </c>
      <c r="S26" s="40">
        <v>24</v>
      </c>
      <c r="T26" s="43">
        <v>15.400000000000016</v>
      </c>
      <c r="U26" s="44">
        <v>7770</v>
      </c>
      <c r="V26" s="40">
        <v>7607</v>
      </c>
      <c r="W26" s="41">
        <v>97.902187902187904</v>
      </c>
      <c r="X26" s="40">
        <v>4</v>
      </c>
      <c r="Y26" s="42">
        <v>14.549999999999999</v>
      </c>
      <c r="Z26" s="40">
        <v>12</v>
      </c>
      <c r="AA26" s="42">
        <v>13.349999999999996</v>
      </c>
      <c r="AB26" s="45">
        <v>13.949999999999998</v>
      </c>
      <c r="AC26" s="44">
        <v>3939</v>
      </c>
      <c r="AD26" s="40">
        <v>3395</v>
      </c>
      <c r="AE26" s="41">
        <v>86.189388169586195</v>
      </c>
      <c r="AF26" s="40">
        <v>12</v>
      </c>
      <c r="AG26" s="42">
        <v>13.349999999999996</v>
      </c>
      <c r="AH26" s="40">
        <v>15</v>
      </c>
      <c r="AI26" s="42">
        <v>12.899999999999995</v>
      </c>
      <c r="AJ26" s="45">
        <v>13.124999999999996</v>
      </c>
      <c r="AK26" s="47">
        <v>30138.091502064362</v>
      </c>
      <c r="AL26" s="40">
        <v>19403.900000000001</v>
      </c>
      <c r="AM26" s="41">
        <v>64.383307080579058</v>
      </c>
      <c r="AN26" s="40">
        <v>22</v>
      </c>
      <c r="AO26" s="42">
        <v>7.9000000000000075</v>
      </c>
      <c r="AP26" s="40">
        <v>14</v>
      </c>
      <c r="AQ26" s="42">
        <v>8.7000000000000046</v>
      </c>
      <c r="AR26" s="43">
        <v>8.300000000000006</v>
      </c>
      <c r="AS26" s="48">
        <v>7.1206908854819577</v>
      </c>
      <c r="AT26" s="40">
        <v>11</v>
      </c>
      <c r="AU26" s="45">
        <v>9.0000000000000036</v>
      </c>
      <c r="AV26" s="49">
        <v>84.75</v>
      </c>
      <c r="AW26" s="50">
        <v>22</v>
      </c>
      <c r="AX26" s="51">
        <v>9</v>
      </c>
      <c r="AY26" s="52">
        <v>23000</v>
      </c>
      <c r="AZ26" s="53">
        <v>1800</v>
      </c>
      <c r="BA26" s="53">
        <v>2000</v>
      </c>
      <c r="BB26" s="53">
        <v>600</v>
      </c>
      <c r="BC26" s="54">
        <v>500</v>
      </c>
      <c r="BD26" s="55">
        <v>7000</v>
      </c>
      <c r="BE26" s="56">
        <v>4000</v>
      </c>
      <c r="BF26" s="37">
        <v>38850</v>
      </c>
    </row>
    <row r="27" spans="1:58">
      <c r="A27" s="38" t="s">
        <v>51</v>
      </c>
      <c r="B27" s="39">
        <v>170583</v>
      </c>
      <c r="C27" s="40">
        <v>199934.67206000001</v>
      </c>
      <c r="D27" s="41">
        <v>117.20668065399249</v>
      </c>
      <c r="E27" s="40">
        <v>2</v>
      </c>
      <c r="F27" s="42">
        <v>14.85</v>
      </c>
      <c r="G27" s="40">
        <v>19</v>
      </c>
      <c r="H27" s="42">
        <v>12.299999999999994</v>
      </c>
      <c r="I27" s="43">
        <v>13.574999999999996</v>
      </c>
      <c r="J27" s="44">
        <v>43871</v>
      </c>
      <c r="K27" s="40">
        <v>47685.519517000001</v>
      </c>
      <c r="L27" s="41">
        <v>108.69485427047481</v>
      </c>
      <c r="M27" s="40">
        <v>6</v>
      </c>
      <c r="N27" s="42">
        <v>14.249999999999998</v>
      </c>
      <c r="O27" s="40">
        <v>14</v>
      </c>
      <c r="P27" s="42">
        <v>13.049999999999995</v>
      </c>
      <c r="Q27" s="45">
        <v>13.649999999999997</v>
      </c>
      <c r="R27" s="46">
        <v>19.982900000000001</v>
      </c>
      <c r="S27" s="40">
        <v>6</v>
      </c>
      <c r="T27" s="43">
        <v>19.000000000000004</v>
      </c>
      <c r="U27" s="44">
        <v>7383</v>
      </c>
      <c r="V27" s="40">
        <v>7053</v>
      </c>
      <c r="W27" s="41">
        <v>95.530272247054043</v>
      </c>
      <c r="X27" s="40">
        <v>14</v>
      </c>
      <c r="Y27" s="42">
        <v>13.049999999999995</v>
      </c>
      <c r="Z27" s="40">
        <v>15</v>
      </c>
      <c r="AA27" s="42">
        <v>12.899999999999995</v>
      </c>
      <c r="AB27" s="45">
        <v>12.974999999999994</v>
      </c>
      <c r="AC27" s="44">
        <v>4996</v>
      </c>
      <c r="AD27" s="40">
        <v>3976</v>
      </c>
      <c r="AE27" s="41">
        <v>79.583666933546837</v>
      </c>
      <c r="AF27" s="40">
        <v>17</v>
      </c>
      <c r="AG27" s="42">
        <v>12.599999999999994</v>
      </c>
      <c r="AH27" s="40">
        <v>11</v>
      </c>
      <c r="AI27" s="42">
        <v>13.499999999999996</v>
      </c>
      <c r="AJ27" s="45">
        <v>13.049999999999995</v>
      </c>
      <c r="AK27" s="47">
        <v>37654.929379704903</v>
      </c>
      <c r="AL27" s="40">
        <v>25795.42</v>
      </c>
      <c r="AM27" s="41">
        <v>68.504762656395016</v>
      </c>
      <c r="AN27" s="40">
        <v>7</v>
      </c>
      <c r="AO27" s="42">
        <v>9.4000000000000021</v>
      </c>
      <c r="AP27" s="40">
        <v>10</v>
      </c>
      <c r="AQ27" s="42">
        <v>9.1000000000000032</v>
      </c>
      <c r="AR27" s="43">
        <v>9.2500000000000036</v>
      </c>
      <c r="AS27" s="48">
        <v>7.2644227577507809</v>
      </c>
      <c r="AT27" s="40">
        <v>3</v>
      </c>
      <c r="AU27" s="45">
        <v>9.8000000000000007</v>
      </c>
      <c r="AV27" s="49">
        <v>91.299999999999983</v>
      </c>
      <c r="AW27" s="50">
        <v>4</v>
      </c>
      <c r="AX27" s="51">
        <v>17</v>
      </c>
      <c r="AY27" s="52">
        <v>33000</v>
      </c>
      <c r="AZ27" s="53">
        <v>3000</v>
      </c>
      <c r="BA27" s="53">
        <v>3200</v>
      </c>
      <c r="BB27" s="53">
        <v>900</v>
      </c>
      <c r="BC27" s="54">
        <v>850</v>
      </c>
      <c r="BD27" s="55">
        <v>15000</v>
      </c>
      <c r="BE27" s="56">
        <v>7000</v>
      </c>
      <c r="BF27" s="37">
        <v>63200</v>
      </c>
    </row>
    <row r="28" spans="1:58">
      <c r="A28" s="38" t="s">
        <v>52</v>
      </c>
      <c r="B28" s="39">
        <v>150081</v>
      </c>
      <c r="C28" s="40">
        <v>173161.91692399999</v>
      </c>
      <c r="D28" s="41">
        <v>115.37897330374931</v>
      </c>
      <c r="E28" s="40">
        <v>3</v>
      </c>
      <c r="F28" s="42">
        <v>14.7</v>
      </c>
      <c r="G28" s="40">
        <v>21</v>
      </c>
      <c r="H28" s="42">
        <v>11.999999999999993</v>
      </c>
      <c r="I28" s="43">
        <v>13.349999999999996</v>
      </c>
      <c r="J28" s="44">
        <v>38210</v>
      </c>
      <c r="K28" s="40">
        <v>38061.406007999998</v>
      </c>
      <c r="L28" s="41">
        <v>99.611112295210674</v>
      </c>
      <c r="M28" s="40">
        <v>23</v>
      </c>
      <c r="N28" s="42">
        <v>11.699999999999992</v>
      </c>
      <c r="O28" s="40">
        <v>20</v>
      </c>
      <c r="P28" s="42">
        <v>12.149999999999993</v>
      </c>
      <c r="Q28" s="45">
        <v>11.924999999999994</v>
      </c>
      <c r="R28" s="46">
        <v>19.960100000000001</v>
      </c>
      <c r="S28" s="40">
        <v>16</v>
      </c>
      <c r="T28" s="43">
        <v>17.000000000000011</v>
      </c>
      <c r="U28" s="44">
        <v>5919</v>
      </c>
      <c r="V28" s="40">
        <v>5597</v>
      </c>
      <c r="W28" s="41">
        <v>94.559891873627308</v>
      </c>
      <c r="X28" s="40">
        <v>18</v>
      </c>
      <c r="Y28" s="42">
        <v>12.449999999999994</v>
      </c>
      <c r="Z28" s="40">
        <v>22</v>
      </c>
      <c r="AA28" s="42">
        <v>11.849999999999993</v>
      </c>
      <c r="AB28" s="45">
        <v>12.149999999999993</v>
      </c>
      <c r="AC28" s="44">
        <v>3910.0000000000005</v>
      </c>
      <c r="AD28" s="40">
        <v>3894</v>
      </c>
      <c r="AE28" s="41">
        <v>99.590792838874677</v>
      </c>
      <c r="AF28" s="40">
        <v>3</v>
      </c>
      <c r="AG28" s="42">
        <v>14.7</v>
      </c>
      <c r="AH28" s="40">
        <v>12</v>
      </c>
      <c r="AI28" s="42">
        <v>13.349999999999996</v>
      </c>
      <c r="AJ28" s="45">
        <v>14.024999999999999</v>
      </c>
      <c r="AK28" s="47">
        <v>38785.004004513568</v>
      </c>
      <c r="AL28" s="40">
        <v>27059.040000000001</v>
      </c>
      <c r="AM28" s="41">
        <v>69.766758298777091</v>
      </c>
      <c r="AN28" s="40">
        <v>6</v>
      </c>
      <c r="AO28" s="42">
        <v>9.5000000000000018</v>
      </c>
      <c r="AP28" s="40">
        <v>9</v>
      </c>
      <c r="AQ28" s="42">
        <v>9.2000000000000028</v>
      </c>
      <c r="AR28" s="43">
        <v>9.3500000000000014</v>
      </c>
      <c r="AS28" s="48">
        <v>7.263989871054517</v>
      </c>
      <c r="AT28" s="40">
        <v>4</v>
      </c>
      <c r="AU28" s="45">
        <v>9.7000000000000011</v>
      </c>
      <c r="AV28" s="49">
        <v>87.499999999999986</v>
      </c>
      <c r="AW28" s="50">
        <v>14</v>
      </c>
      <c r="AX28" s="51">
        <v>15</v>
      </c>
      <c r="AY28" s="52">
        <v>27000</v>
      </c>
      <c r="AZ28" s="53">
        <v>3000</v>
      </c>
      <c r="BA28" s="53">
        <v>3200</v>
      </c>
      <c r="BB28" s="53">
        <v>850</v>
      </c>
      <c r="BC28" s="54">
        <v>600</v>
      </c>
      <c r="BD28" s="55">
        <v>10000</v>
      </c>
      <c r="BE28" s="56">
        <v>5000</v>
      </c>
      <c r="BF28" s="37">
        <v>49600</v>
      </c>
    </row>
    <row r="29" spans="1:58">
      <c r="A29" s="57" t="s">
        <v>53</v>
      </c>
      <c r="B29" s="39">
        <v>143277</v>
      </c>
      <c r="C29" s="40">
        <v>154356.01878799999</v>
      </c>
      <c r="D29" s="41">
        <v>107.73258707817723</v>
      </c>
      <c r="E29" s="40">
        <v>14</v>
      </c>
      <c r="F29" s="42">
        <v>13.049999999999995</v>
      </c>
      <c r="G29" s="40">
        <v>23</v>
      </c>
      <c r="H29" s="42">
        <v>11.699999999999992</v>
      </c>
      <c r="I29" s="43">
        <v>12.374999999999993</v>
      </c>
      <c r="J29" s="44">
        <v>34208</v>
      </c>
      <c r="K29" s="40">
        <v>34325.872353999999</v>
      </c>
      <c r="L29" s="41">
        <v>100.34457540341441</v>
      </c>
      <c r="M29" s="40">
        <v>22</v>
      </c>
      <c r="N29" s="42">
        <v>11.849999999999993</v>
      </c>
      <c r="O29" s="40">
        <v>22</v>
      </c>
      <c r="P29" s="42">
        <v>11.849999999999993</v>
      </c>
      <c r="Q29" s="45">
        <v>11.849999999999993</v>
      </c>
      <c r="R29" s="46">
        <v>19.942999999999998</v>
      </c>
      <c r="S29" s="40">
        <v>23</v>
      </c>
      <c r="T29" s="43">
        <v>15.600000000000016</v>
      </c>
      <c r="U29" s="44">
        <v>4825</v>
      </c>
      <c r="V29" s="40">
        <v>4646</v>
      </c>
      <c r="W29" s="41">
        <v>96.290155440414509</v>
      </c>
      <c r="X29" s="40">
        <v>9</v>
      </c>
      <c r="Y29" s="42">
        <v>13.799999999999997</v>
      </c>
      <c r="Z29" s="40">
        <v>25</v>
      </c>
      <c r="AA29" s="42">
        <v>11.399999999999991</v>
      </c>
      <c r="AB29" s="45">
        <v>12.599999999999994</v>
      </c>
      <c r="AC29" s="44">
        <v>3164</v>
      </c>
      <c r="AD29" s="40">
        <v>2952</v>
      </c>
      <c r="AE29" s="41">
        <v>93.299620733249057</v>
      </c>
      <c r="AF29" s="40">
        <v>6</v>
      </c>
      <c r="AG29" s="42">
        <v>14.249999999999998</v>
      </c>
      <c r="AH29" s="40">
        <v>22</v>
      </c>
      <c r="AI29" s="42">
        <v>11.849999999999993</v>
      </c>
      <c r="AJ29" s="45">
        <v>13.049999999999995</v>
      </c>
      <c r="AK29" s="47">
        <v>34030.552704871079</v>
      </c>
      <c r="AL29" s="40">
        <v>20380.02</v>
      </c>
      <c r="AM29" s="41">
        <v>59.887419921577809</v>
      </c>
      <c r="AN29" s="40">
        <v>25</v>
      </c>
      <c r="AO29" s="42">
        <v>7.6000000000000085</v>
      </c>
      <c r="AP29" s="40">
        <v>13</v>
      </c>
      <c r="AQ29" s="42">
        <v>8.8000000000000043</v>
      </c>
      <c r="AR29" s="43">
        <v>8.2000000000000064</v>
      </c>
      <c r="AS29" s="48">
        <v>6.9264529819036866</v>
      </c>
      <c r="AT29" s="40">
        <v>19</v>
      </c>
      <c r="AU29" s="45">
        <v>8.2000000000000064</v>
      </c>
      <c r="AV29" s="49">
        <v>81.875</v>
      </c>
      <c r="AW29" s="58">
        <v>25</v>
      </c>
      <c r="AX29" s="59">
        <v>8</v>
      </c>
      <c r="AY29" s="60">
        <v>23000</v>
      </c>
      <c r="AZ29" s="61">
        <v>1800</v>
      </c>
      <c r="BA29" s="61">
        <v>1800</v>
      </c>
      <c r="BB29" s="61">
        <v>500</v>
      </c>
      <c r="BC29" s="62">
        <v>500</v>
      </c>
      <c r="BD29" s="63">
        <v>7000</v>
      </c>
      <c r="BE29" s="64">
        <v>4000</v>
      </c>
      <c r="BF29" s="37">
        <v>38500</v>
      </c>
    </row>
    <row r="30" spans="1:58">
      <c r="A30" s="38" t="s">
        <v>54</v>
      </c>
      <c r="B30" s="39">
        <v>105053</v>
      </c>
      <c r="C30" s="40">
        <v>118123.926376</v>
      </c>
      <c r="D30" s="41">
        <v>112.44222095132933</v>
      </c>
      <c r="E30" s="40">
        <v>5</v>
      </c>
      <c r="F30" s="42">
        <v>14.399999999999999</v>
      </c>
      <c r="G30" s="40">
        <v>3</v>
      </c>
      <c r="H30" s="42">
        <v>14.7</v>
      </c>
      <c r="I30" s="43">
        <v>14.549999999999999</v>
      </c>
      <c r="J30" s="44">
        <v>32398</v>
      </c>
      <c r="K30" s="40">
        <v>31358.895465000001</v>
      </c>
      <c r="L30" s="41">
        <v>96.7926892555096</v>
      </c>
      <c r="M30" s="40">
        <v>13</v>
      </c>
      <c r="N30" s="42">
        <v>13.199999999999996</v>
      </c>
      <c r="O30" s="40">
        <v>1</v>
      </c>
      <c r="P30" s="42">
        <v>15</v>
      </c>
      <c r="Q30" s="45">
        <v>14.099999999999998</v>
      </c>
      <c r="R30" s="46">
        <v>19.994300000000003</v>
      </c>
      <c r="S30" s="40">
        <v>1</v>
      </c>
      <c r="T30" s="43">
        <v>20</v>
      </c>
      <c r="U30" s="44">
        <v>3899</v>
      </c>
      <c r="V30" s="40">
        <v>3756</v>
      </c>
      <c r="W30" s="41">
        <v>96.332392921261857</v>
      </c>
      <c r="X30" s="40">
        <v>4</v>
      </c>
      <c r="Y30" s="42">
        <v>14.549999999999999</v>
      </c>
      <c r="Z30" s="40">
        <v>3</v>
      </c>
      <c r="AA30" s="42">
        <v>14.7</v>
      </c>
      <c r="AB30" s="45">
        <v>14.625</v>
      </c>
      <c r="AC30" s="44">
        <v>2704</v>
      </c>
      <c r="AD30" s="40">
        <v>2143</v>
      </c>
      <c r="AE30" s="41">
        <v>79.252958579881664</v>
      </c>
      <c r="AF30" s="40">
        <v>10</v>
      </c>
      <c r="AG30" s="42">
        <v>13.649999999999997</v>
      </c>
      <c r="AH30" s="40">
        <v>3</v>
      </c>
      <c r="AI30" s="42">
        <v>14.7</v>
      </c>
      <c r="AJ30" s="45">
        <v>14.174999999999997</v>
      </c>
      <c r="AK30" s="47">
        <v>18542.680028112132</v>
      </c>
      <c r="AL30" s="40">
        <v>14658.54</v>
      </c>
      <c r="AM30" s="41">
        <v>79.052973883907413</v>
      </c>
      <c r="AN30" s="40">
        <v>5</v>
      </c>
      <c r="AO30" s="42">
        <v>9.6000000000000014</v>
      </c>
      <c r="AP30" s="40">
        <v>4</v>
      </c>
      <c r="AQ30" s="42">
        <v>9.7000000000000011</v>
      </c>
      <c r="AR30" s="43">
        <v>9.6500000000000021</v>
      </c>
      <c r="AS30" s="48">
        <v>7.3885970073093112</v>
      </c>
      <c r="AT30" s="40">
        <v>2</v>
      </c>
      <c r="AU30" s="45">
        <v>9.9</v>
      </c>
      <c r="AV30" s="49">
        <v>97</v>
      </c>
      <c r="AW30" s="50">
        <v>1</v>
      </c>
      <c r="AX30" s="51">
        <v>12</v>
      </c>
      <c r="AY30" s="65">
        <v>25000</v>
      </c>
      <c r="AZ30" s="53">
        <v>1800</v>
      </c>
      <c r="BA30" s="61">
        <v>1700</v>
      </c>
      <c r="BB30" s="53">
        <v>500</v>
      </c>
      <c r="BC30" s="54">
        <v>800</v>
      </c>
      <c r="BD30" s="55">
        <v>12000</v>
      </c>
      <c r="BE30" s="56">
        <v>6000</v>
      </c>
      <c r="BF30" s="37">
        <v>48400</v>
      </c>
    </row>
    <row r="31" spans="1:58">
      <c r="A31" s="38" t="s">
        <v>55</v>
      </c>
      <c r="B31" s="39">
        <v>98907</v>
      </c>
      <c r="C31" s="40">
        <v>106269.006337</v>
      </c>
      <c r="D31" s="41">
        <v>107.44336228679465</v>
      </c>
      <c r="E31" s="40">
        <v>13</v>
      </c>
      <c r="F31" s="42">
        <v>13.199999999999996</v>
      </c>
      <c r="G31" s="40">
        <v>6</v>
      </c>
      <c r="H31" s="42">
        <v>14.249999999999998</v>
      </c>
      <c r="I31" s="43">
        <v>13.724999999999998</v>
      </c>
      <c r="J31" s="44">
        <v>20922</v>
      </c>
      <c r="K31" s="40">
        <v>21808.128938000002</v>
      </c>
      <c r="L31" s="41">
        <v>104.23539306949623</v>
      </c>
      <c r="M31" s="40">
        <v>5</v>
      </c>
      <c r="N31" s="42">
        <v>14.399999999999999</v>
      </c>
      <c r="O31" s="40">
        <v>6</v>
      </c>
      <c r="P31" s="42">
        <v>14.249999999999998</v>
      </c>
      <c r="Q31" s="45">
        <v>14.324999999999999</v>
      </c>
      <c r="R31" s="46">
        <v>19.971499999999999</v>
      </c>
      <c r="S31" s="40">
        <v>3</v>
      </c>
      <c r="T31" s="43">
        <v>19.600000000000001</v>
      </c>
      <c r="U31" s="44">
        <v>2589</v>
      </c>
      <c r="V31" s="40">
        <v>2223</v>
      </c>
      <c r="W31" s="41">
        <v>85.863267670915405</v>
      </c>
      <c r="X31" s="40">
        <v>14</v>
      </c>
      <c r="Y31" s="42">
        <v>13.049999999999995</v>
      </c>
      <c r="Z31" s="40">
        <v>12</v>
      </c>
      <c r="AA31" s="42">
        <v>13.349999999999996</v>
      </c>
      <c r="AB31" s="45">
        <v>13.199999999999996</v>
      </c>
      <c r="AC31" s="44">
        <v>1769</v>
      </c>
      <c r="AD31" s="40">
        <v>1153</v>
      </c>
      <c r="AE31" s="41">
        <v>65.17806670435273</v>
      </c>
      <c r="AF31" s="40">
        <v>13</v>
      </c>
      <c r="AG31" s="42">
        <v>13.199999999999996</v>
      </c>
      <c r="AH31" s="40">
        <v>11</v>
      </c>
      <c r="AI31" s="42">
        <v>13.499999999999996</v>
      </c>
      <c r="AJ31" s="45">
        <v>13.349999999999996</v>
      </c>
      <c r="AK31" s="47">
        <v>7421.7053182574637</v>
      </c>
      <c r="AL31" s="40">
        <v>4912.0600000000004</v>
      </c>
      <c r="AM31" s="41">
        <v>66.18505841125608</v>
      </c>
      <c r="AN31" s="40">
        <v>13</v>
      </c>
      <c r="AO31" s="42">
        <v>8.8000000000000043</v>
      </c>
      <c r="AP31" s="40">
        <v>13</v>
      </c>
      <c r="AQ31" s="42">
        <v>8.8000000000000043</v>
      </c>
      <c r="AR31" s="43">
        <v>8.8000000000000043</v>
      </c>
      <c r="AS31" s="48">
        <v>6.3601789226786032</v>
      </c>
      <c r="AT31" s="40">
        <v>14</v>
      </c>
      <c r="AU31" s="45">
        <v>8.7000000000000046</v>
      </c>
      <c r="AV31" s="49">
        <v>91.7</v>
      </c>
      <c r="AW31" s="50">
        <v>12</v>
      </c>
      <c r="AX31" s="51">
        <v>13</v>
      </c>
      <c r="AY31" s="65">
        <v>18000</v>
      </c>
      <c r="AZ31" s="53">
        <v>1800</v>
      </c>
      <c r="BA31" s="61">
        <v>1700</v>
      </c>
      <c r="BB31" s="53">
        <v>500</v>
      </c>
      <c r="BC31" s="54">
        <v>400</v>
      </c>
      <c r="BD31" s="55">
        <v>7000</v>
      </c>
      <c r="BE31" s="56">
        <v>3500</v>
      </c>
      <c r="BF31" s="37">
        <v>33500</v>
      </c>
    </row>
    <row r="32" spans="1:58">
      <c r="A32" s="38" t="s">
        <v>56</v>
      </c>
      <c r="B32" s="39">
        <v>106201</v>
      </c>
      <c r="C32" s="40">
        <v>123988.44197099999</v>
      </c>
      <c r="D32" s="41">
        <v>116.74884602875679</v>
      </c>
      <c r="E32" s="40">
        <v>2</v>
      </c>
      <c r="F32" s="42">
        <v>14.85</v>
      </c>
      <c r="G32" s="40">
        <v>2</v>
      </c>
      <c r="H32" s="42">
        <v>14.85</v>
      </c>
      <c r="I32" s="43">
        <v>14.85</v>
      </c>
      <c r="J32" s="44">
        <v>22310</v>
      </c>
      <c r="K32" s="40">
        <v>23300.286931999999</v>
      </c>
      <c r="L32" s="41">
        <v>104.43875809950694</v>
      </c>
      <c r="M32" s="40">
        <v>4</v>
      </c>
      <c r="N32" s="42">
        <v>14.549999999999999</v>
      </c>
      <c r="O32" s="40">
        <v>5</v>
      </c>
      <c r="P32" s="42">
        <v>14.399999999999999</v>
      </c>
      <c r="Q32" s="45">
        <v>14.474999999999998</v>
      </c>
      <c r="R32" s="46">
        <v>19.988599999999998</v>
      </c>
      <c r="S32" s="40">
        <v>2</v>
      </c>
      <c r="T32" s="43">
        <v>19.8</v>
      </c>
      <c r="U32" s="44">
        <v>3189</v>
      </c>
      <c r="V32" s="40">
        <v>2977</v>
      </c>
      <c r="W32" s="41">
        <v>93.352148008780176</v>
      </c>
      <c r="X32" s="40">
        <v>11</v>
      </c>
      <c r="Y32" s="42">
        <v>13.499999999999996</v>
      </c>
      <c r="Z32" s="40">
        <v>7</v>
      </c>
      <c r="AA32" s="42">
        <v>14.099999999999998</v>
      </c>
      <c r="AB32" s="45">
        <v>13.799999999999997</v>
      </c>
      <c r="AC32" s="44">
        <v>2028</v>
      </c>
      <c r="AD32" s="40">
        <v>1585</v>
      </c>
      <c r="AE32" s="41">
        <v>78.155818540433927</v>
      </c>
      <c r="AF32" s="40">
        <v>11</v>
      </c>
      <c r="AG32" s="42">
        <v>13.499999999999996</v>
      </c>
      <c r="AH32" s="40">
        <v>7</v>
      </c>
      <c r="AI32" s="42">
        <v>14.099999999999998</v>
      </c>
      <c r="AJ32" s="45">
        <v>13.799999999999997</v>
      </c>
      <c r="AK32" s="47">
        <v>18925.256882494585</v>
      </c>
      <c r="AL32" s="40">
        <v>12668.23</v>
      </c>
      <c r="AM32" s="41">
        <v>66.938219537288361</v>
      </c>
      <c r="AN32" s="40">
        <v>11</v>
      </c>
      <c r="AO32" s="42">
        <v>9.0000000000000036</v>
      </c>
      <c r="AP32" s="40">
        <v>6</v>
      </c>
      <c r="AQ32" s="42">
        <v>9.5000000000000018</v>
      </c>
      <c r="AR32" s="43">
        <v>9.2500000000000036</v>
      </c>
      <c r="AS32" s="48">
        <v>6.4502837530368167</v>
      </c>
      <c r="AT32" s="40">
        <v>13</v>
      </c>
      <c r="AU32" s="45">
        <v>8.8000000000000043</v>
      </c>
      <c r="AV32" s="49">
        <v>94.775000000000006</v>
      </c>
      <c r="AW32" s="50">
        <v>5</v>
      </c>
      <c r="AX32" s="51">
        <v>12</v>
      </c>
      <c r="AY32" s="65">
        <v>22000</v>
      </c>
      <c r="AZ32" s="53">
        <v>1800</v>
      </c>
      <c r="BA32" s="61">
        <v>1700</v>
      </c>
      <c r="BB32" s="53">
        <v>500</v>
      </c>
      <c r="BC32" s="54">
        <v>600</v>
      </c>
      <c r="BD32" s="55">
        <v>10000</v>
      </c>
      <c r="BE32" s="56">
        <v>4500</v>
      </c>
      <c r="BF32" s="37">
        <v>41700</v>
      </c>
    </row>
    <row r="33" spans="1:58">
      <c r="A33" s="38" t="s">
        <v>57</v>
      </c>
      <c r="B33" s="39">
        <v>55482</v>
      </c>
      <c r="C33" s="40">
        <v>65175.444779999998</v>
      </c>
      <c r="D33" s="41">
        <v>117.4713326484265</v>
      </c>
      <c r="E33" s="40">
        <v>1</v>
      </c>
      <c r="F33" s="42">
        <v>15</v>
      </c>
      <c r="G33" s="40">
        <v>12</v>
      </c>
      <c r="H33" s="42">
        <v>13.349999999999996</v>
      </c>
      <c r="I33" s="43">
        <v>14.174999999999997</v>
      </c>
      <c r="J33" s="44">
        <v>16099</v>
      </c>
      <c r="K33" s="40">
        <v>18684.368936999999</v>
      </c>
      <c r="L33" s="41">
        <v>116.0591896204733</v>
      </c>
      <c r="M33" s="40">
        <v>1</v>
      </c>
      <c r="N33" s="42">
        <v>15</v>
      </c>
      <c r="O33" s="40">
        <v>12</v>
      </c>
      <c r="P33" s="42">
        <v>13.349999999999996</v>
      </c>
      <c r="Q33" s="45">
        <v>14.174999999999997</v>
      </c>
      <c r="R33" s="46">
        <v>19.965800000000002</v>
      </c>
      <c r="S33" s="40">
        <v>4</v>
      </c>
      <c r="T33" s="43">
        <v>19.400000000000002</v>
      </c>
      <c r="U33" s="44">
        <v>2292</v>
      </c>
      <c r="V33" s="40">
        <v>2244</v>
      </c>
      <c r="W33" s="41">
        <v>97.905759162303653</v>
      </c>
      <c r="X33" s="40">
        <v>2</v>
      </c>
      <c r="Y33" s="42">
        <v>14.85</v>
      </c>
      <c r="Z33" s="40">
        <v>11</v>
      </c>
      <c r="AA33" s="42">
        <v>13.499999999999996</v>
      </c>
      <c r="AB33" s="45">
        <v>14.174999999999997</v>
      </c>
      <c r="AC33" s="44">
        <v>1418.0000000000002</v>
      </c>
      <c r="AD33" s="40">
        <v>1349</v>
      </c>
      <c r="AE33" s="41">
        <v>95.133991537376573</v>
      </c>
      <c r="AF33" s="40">
        <v>3</v>
      </c>
      <c r="AG33" s="42">
        <v>14.7</v>
      </c>
      <c r="AH33" s="40">
        <v>10</v>
      </c>
      <c r="AI33" s="42">
        <v>13.649999999999997</v>
      </c>
      <c r="AJ33" s="45">
        <v>14.174999999999997</v>
      </c>
      <c r="AK33" s="47">
        <v>9639.4572522166054</v>
      </c>
      <c r="AL33" s="40">
        <v>7537.19</v>
      </c>
      <c r="AM33" s="41">
        <v>78.191020539738503</v>
      </c>
      <c r="AN33" s="40">
        <v>6</v>
      </c>
      <c r="AO33" s="42">
        <v>9.5000000000000018</v>
      </c>
      <c r="AP33" s="40">
        <v>9</v>
      </c>
      <c r="AQ33" s="42">
        <v>9.2000000000000028</v>
      </c>
      <c r="AR33" s="43">
        <v>9.3500000000000014</v>
      </c>
      <c r="AS33" s="48">
        <v>7.1583150984682726</v>
      </c>
      <c r="AT33" s="40">
        <v>5</v>
      </c>
      <c r="AU33" s="45">
        <v>9.6000000000000014</v>
      </c>
      <c r="AV33" s="49">
        <v>95.049999999999983</v>
      </c>
      <c r="AW33" s="50">
        <v>3</v>
      </c>
      <c r="AX33" s="51">
        <v>6</v>
      </c>
      <c r="AY33" s="65">
        <v>25000</v>
      </c>
      <c r="AZ33" s="53">
        <v>1200</v>
      </c>
      <c r="BA33" s="61">
        <v>1200</v>
      </c>
      <c r="BB33" s="53">
        <v>350</v>
      </c>
      <c r="BC33" s="54">
        <v>700</v>
      </c>
      <c r="BD33" s="55">
        <v>12000</v>
      </c>
      <c r="BE33" s="56">
        <v>4500</v>
      </c>
      <c r="BF33" s="37">
        <v>44850</v>
      </c>
    </row>
    <row r="34" spans="1:58">
      <c r="A34" s="38" t="s">
        <v>58</v>
      </c>
      <c r="B34" s="39">
        <v>101037</v>
      </c>
      <c r="C34" s="40">
        <v>113473.932384</v>
      </c>
      <c r="D34" s="41">
        <v>112.30928509753852</v>
      </c>
      <c r="E34" s="40">
        <v>6</v>
      </c>
      <c r="F34" s="42">
        <v>14.249999999999998</v>
      </c>
      <c r="G34" s="40">
        <v>4</v>
      </c>
      <c r="H34" s="42">
        <v>14.549999999999999</v>
      </c>
      <c r="I34" s="43">
        <v>14.399999999999999</v>
      </c>
      <c r="J34" s="44">
        <v>25643</v>
      </c>
      <c r="K34" s="40">
        <v>25801.343655000001</v>
      </c>
      <c r="L34" s="41">
        <v>100.61749270756152</v>
      </c>
      <c r="M34" s="40">
        <v>9</v>
      </c>
      <c r="N34" s="42">
        <v>13.799999999999997</v>
      </c>
      <c r="O34" s="40">
        <v>3</v>
      </c>
      <c r="P34" s="42">
        <v>14.7</v>
      </c>
      <c r="Q34" s="45">
        <v>14.249999999999998</v>
      </c>
      <c r="R34" s="46">
        <v>19.943000000000001</v>
      </c>
      <c r="S34" s="40">
        <v>9</v>
      </c>
      <c r="T34" s="43">
        <v>18.400000000000006</v>
      </c>
      <c r="U34" s="44">
        <v>3698</v>
      </c>
      <c r="V34" s="40">
        <v>3487</v>
      </c>
      <c r="W34" s="41">
        <v>94.294213088155772</v>
      </c>
      <c r="X34" s="40">
        <v>8</v>
      </c>
      <c r="Y34" s="42">
        <v>13.949999999999998</v>
      </c>
      <c r="Z34" s="40">
        <v>4</v>
      </c>
      <c r="AA34" s="42">
        <v>14.549999999999999</v>
      </c>
      <c r="AB34" s="45">
        <v>14.249999999999998</v>
      </c>
      <c r="AC34" s="44">
        <v>2340</v>
      </c>
      <c r="AD34" s="40">
        <v>2082</v>
      </c>
      <c r="AE34" s="41">
        <v>88.974358974358978</v>
      </c>
      <c r="AF34" s="40">
        <v>6</v>
      </c>
      <c r="AG34" s="42">
        <v>14.249999999999998</v>
      </c>
      <c r="AH34" s="40">
        <v>4</v>
      </c>
      <c r="AI34" s="42">
        <v>14.549999999999999</v>
      </c>
      <c r="AJ34" s="45">
        <v>14.399999999999999</v>
      </c>
      <c r="AK34" s="47">
        <v>18349.316223784317</v>
      </c>
      <c r="AL34" s="40">
        <v>13322.88</v>
      </c>
      <c r="AM34" s="41">
        <v>72.606956234864654</v>
      </c>
      <c r="AN34" s="40">
        <v>7</v>
      </c>
      <c r="AO34" s="42">
        <v>9.4000000000000021</v>
      </c>
      <c r="AP34" s="40">
        <v>5</v>
      </c>
      <c r="AQ34" s="42">
        <v>9.6000000000000014</v>
      </c>
      <c r="AR34" s="43">
        <v>9.5000000000000018</v>
      </c>
      <c r="AS34" s="48">
        <v>7.2623565961858079</v>
      </c>
      <c r="AT34" s="40">
        <v>4</v>
      </c>
      <c r="AU34" s="45">
        <v>9.7000000000000011</v>
      </c>
      <c r="AV34" s="49">
        <v>94.9</v>
      </c>
      <c r="AW34" s="50">
        <v>4</v>
      </c>
      <c r="AX34" s="51">
        <v>7</v>
      </c>
      <c r="AY34" s="65">
        <v>22000</v>
      </c>
      <c r="AZ34" s="53">
        <v>1500</v>
      </c>
      <c r="BA34" s="61">
        <v>1200</v>
      </c>
      <c r="BB34" s="53">
        <v>350</v>
      </c>
      <c r="BC34" s="54">
        <v>600</v>
      </c>
      <c r="BD34" s="55">
        <v>10000</v>
      </c>
      <c r="BE34" s="56">
        <v>4500</v>
      </c>
      <c r="BF34" s="37">
        <v>40150</v>
      </c>
    </row>
    <row r="35" spans="1:58">
      <c r="A35" s="38" t="s">
        <v>59</v>
      </c>
      <c r="B35" s="39">
        <v>92073</v>
      </c>
      <c r="C35" s="40">
        <v>102733.079094</v>
      </c>
      <c r="D35" s="41">
        <v>111.5778557166596</v>
      </c>
      <c r="E35" s="40">
        <v>7</v>
      </c>
      <c r="F35" s="42">
        <v>14.099999999999998</v>
      </c>
      <c r="G35" s="40">
        <v>9</v>
      </c>
      <c r="H35" s="42">
        <v>13.799999999999997</v>
      </c>
      <c r="I35" s="43">
        <v>13.949999999999998</v>
      </c>
      <c r="J35" s="44">
        <v>21117</v>
      </c>
      <c r="K35" s="40">
        <v>20862.020498999998</v>
      </c>
      <c r="L35" s="41">
        <v>98.79253918170194</v>
      </c>
      <c r="M35" s="40">
        <v>11</v>
      </c>
      <c r="N35" s="42">
        <v>13.499999999999996</v>
      </c>
      <c r="O35" s="40">
        <v>7</v>
      </c>
      <c r="P35" s="42">
        <v>14.099999999999998</v>
      </c>
      <c r="Q35" s="45">
        <v>13.799999999999997</v>
      </c>
      <c r="R35" s="46">
        <v>19.948700000000002</v>
      </c>
      <c r="S35" s="40">
        <v>7</v>
      </c>
      <c r="T35" s="43">
        <v>18.800000000000004</v>
      </c>
      <c r="U35" s="44">
        <v>3408</v>
      </c>
      <c r="V35" s="40">
        <v>3183</v>
      </c>
      <c r="W35" s="41">
        <v>93.397887323943664</v>
      </c>
      <c r="X35" s="40">
        <v>10</v>
      </c>
      <c r="Y35" s="42">
        <v>13.649999999999997</v>
      </c>
      <c r="Z35" s="40">
        <v>6</v>
      </c>
      <c r="AA35" s="42">
        <v>14.249999999999998</v>
      </c>
      <c r="AB35" s="45">
        <v>13.949999999999998</v>
      </c>
      <c r="AC35" s="44">
        <v>2330.9999999999995</v>
      </c>
      <c r="AD35" s="40">
        <v>2053</v>
      </c>
      <c r="AE35" s="41">
        <v>88.073788073788094</v>
      </c>
      <c r="AF35" s="40">
        <v>7</v>
      </c>
      <c r="AG35" s="42">
        <v>14.099999999999998</v>
      </c>
      <c r="AH35" s="40">
        <v>5</v>
      </c>
      <c r="AI35" s="42">
        <v>14.399999999999999</v>
      </c>
      <c r="AJ35" s="45">
        <v>14.249999999999998</v>
      </c>
      <c r="AK35" s="47">
        <v>28320.005457211624</v>
      </c>
      <c r="AL35" s="40">
        <v>24245.5</v>
      </c>
      <c r="AM35" s="41">
        <v>85.6126247455434</v>
      </c>
      <c r="AN35" s="40">
        <v>2</v>
      </c>
      <c r="AO35" s="42">
        <v>9.9</v>
      </c>
      <c r="AP35" s="40">
        <v>1</v>
      </c>
      <c r="AQ35" s="42">
        <v>10</v>
      </c>
      <c r="AR35" s="43">
        <v>9.9499999999999993</v>
      </c>
      <c r="AS35" s="48">
        <v>6.8998026117534987</v>
      </c>
      <c r="AT35" s="40">
        <v>8</v>
      </c>
      <c r="AU35" s="45">
        <v>9.3000000000000025</v>
      </c>
      <c r="AV35" s="49">
        <v>93.999999999999986</v>
      </c>
      <c r="AW35" s="50">
        <v>7</v>
      </c>
      <c r="AX35" s="51">
        <v>11</v>
      </c>
      <c r="AY35" s="65">
        <v>20000</v>
      </c>
      <c r="AZ35" s="53">
        <v>1800</v>
      </c>
      <c r="BA35" s="61">
        <v>1700</v>
      </c>
      <c r="BB35" s="53">
        <v>500</v>
      </c>
      <c r="BC35" s="54">
        <v>500</v>
      </c>
      <c r="BD35" s="55">
        <v>8000</v>
      </c>
      <c r="BE35" s="56">
        <v>4000</v>
      </c>
      <c r="BF35" s="37">
        <v>36600</v>
      </c>
    </row>
    <row r="36" spans="1:58">
      <c r="A36" s="38" t="s">
        <v>60</v>
      </c>
      <c r="B36" s="39">
        <v>93377</v>
      </c>
      <c r="C36" s="40">
        <v>101218.22461600001</v>
      </c>
      <c r="D36" s="41">
        <v>108.39738331280724</v>
      </c>
      <c r="E36" s="40">
        <v>12</v>
      </c>
      <c r="F36" s="42">
        <v>13.349999999999996</v>
      </c>
      <c r="G36" s="40">
        <v>10</v>
      </c>
      <c r="H36" s="42">
        <v>13.649999999999997</v>
      </c>
      <c r="I36" s="43">
        <v>13.499999999999996</v>
      </c>
      <c r="J36" s="44">
        <v>19993</v>
      </c>
      <c r="K36" s="40">
        <v>19071.486411000002</v>
      </c>
      <c r="L36" s="41">
        <v>95.390818841594566</v>
      </c>
      <c r="M36" s="40">
        <v>14</v>
      </c>
      <c r="N36" s="42">
        <v>13.049999999999995</v>
      </c>
      <c r="O36" s="40">
        <v>10</v>
      </c>
      <c r="P36" s="42">
        <v>13.649999999999997</v>
      </c>
      <c r="Q36" s="45">
        <v>13.349999999999996</v>
      </c>
      <c r="R36" s="46">
        <v>19.948700000000002</v>
      </c>
      <c r="S36" s="40">
        <v>7</v>
      </c>
      <c r="T36" s="43">
        <v>18.800000000000004</v>
      </c>
      <c r="U36" s="44">
        <v>2702</v>
      </c>
      <c r="V36" s="40">
        <v>2628</v>
      </c>
      <c r="W36" s="41">
        <v>97.261287934863063</v>
      </c>
      <c r="X36" s="40">
        <v>3</v>
      </c>
      <c r="Y36" s="42">
        <v>14.7</v>
      </c>
      <c r="Z36" s="40">
        <v>9</v>
      </c>
      <c r="AA36" s="42">
        <v>13.799999999999997</v>
      </c>
      <c r="AB36" s="45">
        <v>14.249999999999998</v>
      </c>
      <c r="AC36" s="44">
        <v>1715</v>
      </c>
      <c r="AD36" s="40">
        <v>1624</v>
      </c>
      <c r="AE36" s="41">
        <v>94.693877551020421</v>
      </c>
      <c r="AF36" s="40">
        <v>4</v>
      </c>
      <c r="AG36" s="42">
        <v>14.549999999999999</v>
      </c>
      <c r="AH36" s="40">
        <v>6</v>
      </c>
      <c r="AI36" s="42">
        <v>14.249999999999998</v>
      </c>
      <c r="AJ36" s="45">
        <v>14.399999999999999</v>
      </c>
      <c r="AK36" s="47">
        <v>18039.226845785463</v>
      </c>
      <c r="AL36" s="40">
        <v>15441.72</v>
      </c>
      <c r="AM36" s="41">
        <v>85.60078617564298</v>
      </c>
      <c r="AN36" s="40">
        <v>3</v>
      </c>
      <c r="AO36" s="42">
        <v>9.8000000000000007</v>
      </c>
      <c r="AP36" s="40">
        <v>3</v>
      </c>
      <c r="AQ36" s="42">
        <v>9.8000000000000007</v>
      </c>
      <c r="AR36" s="43">
        <v>9.8000000000000007</v>
      </c>
      <c r="AS36" s="48">
        <v>6.8197524191242458</v>
      </c>
      <c r="AT36" s="40">
        <v>9</v>
      </c>
      <c r="AU36" s="45">
        <v>9.2000000000000028</v>
      </c>
      <c r="AV36" s="49">
        <v>93.3</v>
      </c>
      <c r="AW36" s="50">
        <v>8</v>
      </c>
      <c r="AX36" s="51">
        <v>9</v>
      </c>
      <c r="AY36" s="65">
        <v>20000</v>
      </c>
      <c r="AZ36" s="53">
        <v>1750</v>
      </c>
      <c r="BA36" s="61">
        <v>1500</v>
      </c>
      <c r="BB36" s="53">
        <v>400</v>
      </c>
      <c r="BC36" s="54">
        <v>500</v>
      </c>
      <c r="BD36" s="55">
        <v>8000</v>
      </c>
      <c r="BE36" s="56">
        <v>4000</v>
      </c>
      <c r="BF36" s="37">
        <v>36200</v>
      </c>
    </row>
    <row r="37" spans="1:58">
      <c r="A37" s="38" t="s">
        <v>61</v>
      </c>
      <c r="B37" s="39">
        <v>102113</v>
      </c>
      <c r="C37" s="40">
        <v>112475.83783600001</v>
      </c>
      <c r="D37" s="41">
        <v>110.14840209963472</v>
      </c>
      <c r="E37" s="40">
        <v>10</v>
      </c>
      <c r="F37" s="42">
        <v>13.649999999999997</v>
      </c>
      <c r="G37" s="40">
        <v>5</v>
      </c>
      <c r="H37" s="42">
        <v>14.399999999999999</v>
      </c>
      <c r="I37" s="43">
        <v>14.024999999999999</v>
      </c>
      <c r="J37" s="44">
        <v>31480</v>
      </c>
      <c r="K37" s="40">
        <v>31086.323365</v>
      </c>
      <c r="L37" s="41">
        <v>98.749438897712835</v>
      </c>
      <c r="M37" s="40">
        <v>12</v>
      </c>
      <c r="N37" s="42">
        <v>13.349999999999996</v>
      </c>
      <c r="O37" s="40">
        <v>2</v>
      </c>
      <c r="P37" s="42">
        <v>14.85</v>
      </c>
      <c r="Q37" s="45">
        <v>14.099999999999998</v>
      </c>
      <c r="R37" s="46">
        <v>19.965800000000002</v>
      </c>
      <c r="S37" s="40">
        <v>4</v>
      </c>
      <c r="T37" s="43">
        <v>19.400000000000002</v>
      </c>
      <c r="U37" s="44">
        <v>3963</v>
      </c>
      <c r="V37" s="40">
        <v>3765</v>
      </c>
      <c r="W37" s="41">
        <v>95.003785011355035</v>
      </c>
      <c r="X37" s="40">
        <v>7</v>
      </c>
      <c r="Y37" s="42">
        <v>14.099999999999998</v>
      </c>
      <c r="Z37" s="40">
        <v>2</v>
      </c>
      <c r="AA37" s="42">
        <v>14.85</v>
      </c>
      <c r="AB37" s="45">
        <v>14.474999999999998</v>
      </c>
      <c r="AC37" s="44">
        <v>2750.0000000000005</v>
      </c>
      <c r="AD37" s="40">
        <v>2187</v>
      </c>
      <c r="AE37" s="41">
        <v>79.527272727272717</v>
      </c>
      <c r="AF37" s="40">
        <v>9</v>
      </c>
      <c r="AG37" s="42">
        <v>13.799999999999997</v>
      </c>
      <c r="AH37" s="40">
        <v>1</v>
      </c>
      <c r="AI37" s="42">
        <v>15</v>
      </c>
      <c r="AJ37" s="45">
        <v>14.399999999999999</v>
      </c>
      <c r="AK37" s="47">
        <v>28776.305264239774</v>
      </c>
      <c r="AL37" s="40">
        <v>19012.82</v>
      </c>
      <c r="AM37" s="41">
        <v>66.071095039526057</v>
      </c>
      <c r="AN37" s="40">
        <v>14</v>
      </c>
      <c r="AO37" s="42">
        <v>8.7000000000000046</v>
      </c>
      <c r="AP37" s="40">
        <v>2</v>
      </c>
      <c r="AQ37" s="42">
        <v>9.9</v>
      </c>
      <c r="AR37" s="43">
        <v>9.3000000000000025</v>
      </c>
      <c r="AS37" s="48">
        <v>7.430319755234267</v>
      </c>
      <c r="AT37" s="40">
        <v>1</v>
      </c>
      <c r="AU37" s="45">
        <v>10</v>
      </c>
      <c r="AV37" s="49">
        <v>95.7</v>
      </c>
      <c r="AW37" s="50">
        <v>2</v>
      </c>
      <c r="AX37" s="51">
        <v>14</v>
      </c>
      <c r="AY37" s="65">
        <v>25000</v>
      </c>
      <c r="AZ37" s="53">
        <v>1800</v>
      </c>
      <c r="BA37" s="61">
        <v>1700</v>
      </c>
      <c r="BB37" s="53">
        <v>500</v>
      </c>
      <c r="BC37" s="54">
        <v>750</v>
      </c>
      <c r="BD37" s="55">
        <v>12000</v>
      </c>
      <c r="BE37" s="56">
        <v>5000</v>
      </c>
      <c r="BF37" s="37">
        <v>47550</v>
      </c>
    </row>
    <row r="38" spans="1:58">
      <c r="A38" s="38" t="s">
        <v>62</v>
      </c>
      <c r="B38" s="39">
        <v>67234</v>
      </c>
      <c r="C38" s="40">
        <v>74152.092759000006</v>
      </c>
      <c r="D38" s="41">
        <v>110.28957485647143</v>
      </c>
      <c r="E38" s="40">
        <v>9</v>
      </c>
      <c r="F38" s="42">
        <v>13.799999999999997</v>
      </c>
      <c r="G38" s="40">
        <v>11</v>
      </c>
      <c r="H38" s="42">
        <v>13.499999999999996</v>
      </c>
      <c r="I38" s="43">
        <v>13.649999999999997</v>
      </c>
      <c r="J38" s="44">
        <v>18793</v>
      </c>
      <c r="K38" s="40">
        <v>19243.412402999998</v>
      </c>
      <c r="L38" s="41">
        <v>102.39670304368647</v>
      </c>
      <c r="M38" s="40">
        <v>7</v>
      </c>
      <c r="N38" s="42">
        <v>14.099999999999998</v>
      </c>
      <c r="O38" s="40">
        <v>8</v>
      </c>
      <c r="P38" s="42">
        <v>13.949999999999998</v>
      </c>
      <c r="Q38" s="45">
        <v>14.024999999999999</v>
      </c>
      <c r="R38" s="46">
        <v>19.965800000000002</v>
      </c>
      <c r="S38" s="40">
        <v>4</v>
      </c>
      <c r="T38" s="43">
        <v>19.400000000000002</v>
      </c>
      <c r="U38" s="44">
        <v>2935</v>
      </c>
      <c r="V38" s="40">
        <v>2673</v>
      </c>
      <c r="W38" s="41">
        <v>91.073253833049392</v>
      </c>
      <c r="X38" s="40">
        <v>12</v>
      </c>
      <c r="Y38" s="42">
        <v>13.349999999999996</v>
      </c>
      <c r="Z38" s="40">
        <v>8</v>
      </c>
      <c r="AA38" s="42">
        <v>13.949999999999998</v>
      </c>
      <c r="AB38" s="45">
        <v>13.649999999999997</v>
      </c>
      <c r="AC38" s="44">
        <v>1708.0000000000002</v>
      </c>
      <c r="AD38" s="40">
        <v>1484</v>
      </c>
      <c r="AE38" s="41">
        <v>86.885245901639337</v>
      </c>
      <c r="AF38" s="40">
        <v>8</v>
      </c>
      <c r="AG38" s="42">
        <v>13.949999999999998</v>
      </c>
      <c r="AH38" s="40">
        <v>9</v>
      </c>
      <c r="AI38" s="42">
        <v>13.799999999999997</v>
      </c>
      <c r="AJ38" s="45">
        <v>13.874999999999996</v>
      </c>
      <c r="AK38" s="47">
        <v>10894.731706816872</v>
      </c>
      <c r="AL38" s="40">
        <v>7350.14</v>
      </c>
      <c r="AM38" s="41">
        <v>67.465084940099914</v>
      </c>
      <c r="AN38" s="40">
        <v>10</v>
      </c>
      <c r="AO38" s="42">
        <v>9.1000000000000032</v>
      </c>
      <c r="AP38" s="40">
        <v>10</v>
      </c>
      <c r="AQ38" s="42">
        <v>9.1000000000000032</v>
      </c>
      <c r="AR38" s="43">
        <v>9.1000000000000032</v>
      </c>
      <c r="AS38" s="48">
        <v>6.4654758218234765</v>
      </c>
      <c r="AT38" s="40">
        <v>12</v>
      </c>
      <c r="AU38" s="45">
        <v>8.9000000000000039</v>
      </c>
      <c r="AV38" s="49">
        <v>92.600000000000009</v>
      </c>
      <c r="AW38" s="50">
        <v>10</v>
      </c>
      <c r="AX38" s="51">
        <v>6</v>
      </c>
      <c r="AY38" s="65">
        <v>18000</v>
      </c>
      <c r="AZ38" s="53">
        <v>1400</v>
      </c>
      <c r="BA38" s="61">
        <v>1200</v>
      </c>
      <c r="BB38" s="53">
        <v>400</v>
      </c>
      <c r="BC38" s="54">
        <v>400</v>
      </c>
      <c r="BD38" s="55">
        <v>7000</v>
      </c>
      <c r="BE38" s="56">
        <v>3500</v>
      </c>
      <c r="BF38" s="37">
        <v>31550</v>
      </c>
    </row>
    <row r="39" spans="1:58">
      <c r="A39" s="38" t="s">
        <v>63</v>
      </c>
      <c r="B39" s="39">
        <v>59700</v>
      </c>
      <c r="C39" s="40">
        <v>65017.281131000003</v>
      </c>
      <c r="D39" s="41">
        <v>108.90666856113903</v>
      </c>
      <c r="E39" s="40">
        <v>11</v>
      </c>
      <c r="F39" s="42">
        <v>13.499999999999996</v>
      </c>
      <c r="G39" s="40">
        <v>13</v>
      </c>
      <c r="H39" s="42">
        <v>13.199999999999996</v>
      </c>
      <c r="I39" s="43">
        <v>13.349999999999996</v>
      </c>
      <c r="J39" s="44">
        <v>15342</v>
      </c>
      <c r="K39" s="40">
        <v>16289.040736000001</v>
      </c>
      <c r="L39" s="41">
        <v>106.17286361621693</v>
      </c>
      <c r="M39" s="40">
        <v>3</v>
      </c>
      <c r="N39" s="42">
        <v>14.7</v>
      </c>
      <c r="O39" s="40">
        <v>13</v>
      </c>
      <c r="P39" s="42">
        <v>13.199999999999996</v>
      </c>
      <c r="Q39" s="45">
        <v>13.949999999999998</v>
      </c>
      <c r="R39" s="46">
        <v>19.920200000000001</v>
      </c>
      <c r="S39" s="40">
        <v>14</v>
      </c>
      <c r="T39" s="43">
        <v>17.400000000000009</v>
      </c>
      <c r="U39" s="44">
        <v>1712</v>
      </c>
      <c r="V39" s="40">
        <v>1511</v>
      </c>
      <c r="W39" s="41">
        <v>88.259345794392516</v>
      </c>
      <c r="X39" s="40">
        <v>13</v>
      </c>
      <c r="Y39" s="42">
        <v>13.199999999999996</v>
      </c>
      <c r="Z39" s="40">
        <v>13</v>
      </c>
      <c r="AA39" s="42">
        <v>13.199999999999996</v>
      </c>
      <c r="AB39" s="45">
        <v>13.199999999999996</v>
      </c>
      <c r="AC39" s="44">
        <v>1267</v>
      </c>
      <c r="AD39" s="40">
        <v>697</v>
      </c>
      <c r="AE39" s="41">
        <v>55.011838989739545</v>
      </c>
      <c r="AF39" s="40">
        <v>14</v>
      </c>
      <c r="AG39" s="42">
        <v>13.049999999999995</v>
      </c>
      <c r="AH39" s="40">
        <v>13</v>
      </c>
      <c r="AI39" s="42">
        <v>13.199999999999996</v>
      </c>
      <c r="AJ39" s="45">
        <v>13.124999999999996</v>
      </c>
      <c r="AK39" s="47">
        <v>6386.1868585555158</v>
      </c>
      <c r="AL39" s="40">
        <v>5086.84</v>
      </c>
      <c r="AM39" s="41">
        <v>79.653792046269473</v>
      </c>
      <c r="AN39" s="40">
        <v>4</v>
      </c>
      <c r="AO39" s="42">
        <v>9.7000000000000011</v>
      </c>
      <c r="AP39" s="40">
        <v>12</v>
      </c>
      <c r="AQ39" s="42">
        <v>8.9000000000000039</v>
      </c>
      <c r="AR39" s="43">
        <v>9.3000000000000025</v>
      </c>
      <c r="AS39" s="48">
        <v>6.4696805426375583</v>
      </c>
      <c r="AT39" s="40">
        <v>11</v>
      </c>
      <c r="AU39" s="45">
        <v>9.0000000000000036</v>
      </c>
      <c r="AV39" s="49">
        <v>89.324999999999989</v>
      </c>
      <c r="AW39" s="50">
        <v>14</v>
      </c>
      <c r="AX39" s="51">
        <v>7</v>
      </c>
      <c r="AY39" s="65">
        <v>16000</v>
      </c>
      <c r="AZ39" s="53">
        <v>1500</v>
      </c>
      <c r="BA39" s="61">
        <v>1200</v>
      </c>
      <c r="BB39" s="53">
        <v>350</v>
      </c>
      <c r="BC39" s="54">
        <v>350</v>
      </c>
      <c r="BD39" s="55">
        <v>6500</v>
      </c>
      <c r="BE39" s="56">
        <v>3500</v>
      </c>
      <c r="BF39" s="37">
        <v>29400</v>
      </c>
    </row>
    <row r="40" spans="1:58">
      <c r="A40" s="38" t="s">
        <v>64</v>
      </c>
      <c r="B40" s="39">
        <v>91765</v>
      </c>
      <c r="C40" s="40">
        <v>105628.237884</v>
      </c>
      <c r="D40" s="41">
        <v>115.10732619626219</v>
      </c>
      <c r="E40" s="40">
        <v>3</v>
      </c>
      <c r="F40" s="42">
        <v>14.7</v>
      </c>
      <c r="G40" s="40">
        <v>7</v>
      </c>
      <c r="H40" s="42">
        <v>14.099999999999998</v>
      </c>
      <c r="I40" s="43">
        <v>14.399999999999999</v>
      </c>
      <c r="J40" s="44">
        <v>18472</v>
      </c>
      <c r="K40" s="40">
        <v>18816.441771000002</v>
      </c>
      <c r="L40" s="41">
        <v>101.86466961346905</v>
      </c>
      <c r="M40" s="40">
        <v>8</v>
      </c>
      <c r="N40" s="42">
        <v>13.949999999999998</v>
      </c>
      <c r="O40" s="40">
        <v>11</v>
      </c>
      <c r="P40" s="42">
        <v>13.499999999999996</v>
      </c>
      <c r="Q40" s="45">
        <v>13.724999999999998</v>
      </c>
      <c r="R40" s="46">
        <v>19.925899999999999</v>
      </c>
      <c r="S40" s="40">
        <v>13</v>
      </c>
      <c r="T40" s="43">
        <v>17.600000000000009</v>
      </c>
      <c r="U40" s="44">
        <v>3358</v>
      </c>
      <c r="V40" s="40">
        <v>3218</v>
      </c>
      <c r="W40" s="41">
        <v>95.830851697438959</v>
      </c>
      <c r="X40" s="40">
        <v>6</v>
      </c>
      <c r="Y40" s="42">
        <v>14.249999999999998</v>
      </c>
      <c r="Z40" s="40">
        <v>5</v>
      </c>
      <c r="AA40" s="42">
        <v>14.399999999999999</v>
      </c>
      <c r="AB40" s="45">
        <v>14.324999999999999</v>
      </c>
      <c r="AC40" s="44">
        <v>1764.0000000000002</v>
      </c>
      <c r="AD40" s="40">
        <v>1580</v>
      </c>
      <c r="AE40" s="41">
        <v>89.569160997732425</v>
      </c>
      <c r="AF40" s="40">
        <v>5</v>
      </c>
      <c r="AG40" s="42">
        <v>14.399999999999999</v>
      </c>
      <c r="AH40" s="40">
        <v>8</v>
      </c>
      <c r="AI40" s="42">
        <v>13.949999999999998</v>
      </c>
      <c r="AJ40" s="45">
        <v>14.174999999999997</v>
      </c>
      <c r="AK40" s="47">
        <v>9351.7824501993491</v>
      </c>
      <c r="AL40" s="40">
        <v>6429.24</v>
      </c>
      <c r="AM40" s="41">
        <v>68.748819107345142</v>
      </c>
      <c r="AN40" s="40">
        <v>9</v>
      </c>
      <c r="AO40" s="42">
        <v>9.2000000000000028</v>
      </c>
      <c r="AP40" s="40">
        <v>11</v>
      </c>
      <c r="AQ40" s="42">
        <v>9.0000000000000036</v>
      </c>
      <c r="AR40" s="43">
        <v>9.1000000000000032</v>
      </c>
      <c r="AS40" s="48">
        <v>7.2746417218976482</v>
      </c>
      <c r="AT40" s="40">
        <v>3</v>
      </c>
      <c r="AU40" s="45">
        <v>9.8000000000000007</v>
      </c>
      <c r="AV40" s="49">
        <v>93.125000000000014</v>
      </c>
      <c r="AW40" s="50">
        <v>9</v>
      </c>
      <c r="AX40" s="51">
        <v>3</v>
      </c>
      <c r="AY40" s="65">
        <v>20000</v>
      </c>
      <c r="AZ40" s="53">
        <v>1000</v>
      </c>
      <c r="BA40" s="61">
        <v>1000</v>
      </c>
      <c r="BB40" s="53">
        <v>300</v>
      </c>
      <c r="BC40" s="54">
        <v>500</v>
      </c>
      <c r="BD40" s="55">
        <v>8000</v>
      </c>
      <c r="BE40" s="56">
        <v>4000</v>
      </c>
      <c r="BF40" s="37">
        <v>34600</v>
      </c>
    </row>
    <row r="41" spans="1:58">
      <c r="A41" s="38" t="s">
        <v>65</v>
      </c>
      <c r="B41" s="39">
        <v>29234</v>
      </c>
      <c r="C41" s="40">
        <v>33305.440089999996</v>
      </c>
      <c r="D41" s="41">
        <v>113.92707152630499</v>
      </c>
      <c r="E41" s="40">
        <v>4</v>
      </c>
      <c r="F41" s="42">
        <v>14.549999999999999</v>
      </c>
      <c r="G41" s="40">
        <v>14</v>
      </c>
      <c r="H41" s="42">
        <v>13.049999999999995</v>
      </c>
      <c r="I41" s="43">
        <v>13.799999999999997</v>
      </c>
      <c r="J41" s="44">
        <v>6062</v>
      </c>
      <c r="K41" s="40">
        <v>6464.0755810000001</v>
      </c>
      <c r="L41" s="41">
        <v>106.63272156054109</v>
      </c>
      <c r="M41" s="40">
        <v>2</v>
      </c>
      <c r="N41" s="42">
        <v>14.85</v>
      </c>
      <c r="O41" s="40">
        <v>14</v>
      </c>
      <c r="P41" s="42">
        <v>13.049999999999995</v>
      </c>
      <c r="Q41" s="45">
        <v>13.949999999999998</v>
      </c>
      <c r="R41" s="46">
        <v>19.942999999999998</v>
      </c>
      <c r="S41" s="40">
        <v>10</v>
      </c>
      <c r="T41" s="43">
        <v>18.200000000000006</v>
      </c>
      <c r="U41" s="44">
        <v>922</v>
      </c>
      <c r="V41" s="40">
        <v>885</v>
      </c>
      <c r="W41" s="41">
        <v>95.986984815618214</v>
      </c>
      <c r="X41" s="40">
        <v>5</v>
      </c>
      <c r="Y41" s="42">
        <v>14.399999999999999</v>
      </c>
      <c r="Z41" s="40">
        <v>14</v>
      </c>
      <c r="AA41" s="42">
        <v>13.049999999999995</v>
      </c>
      <c r="AB41" s="45">
        <v>13.724999999999998</v>
      </c>
      <c r="AC41" s="44">
        <v>545</v>
      </c>
      <c r="AD41" s="40">
        <v>547</v>
      </c>
      <c r="AE41" s="41">
        <v>100.36697247706422</v>
      </c>
      <c r="AF41" s="40">
        <v>2</v>
      </c>
      <c r="AG41" s="42">
        <v>14.85</v>
      </c>
      <c r="AH41" s="40">
        <v>14</v>
      </c>
      <c r="AI41" s="42">
        <v>13.049999999999995</v>
      </c>
      <c r="AJ41" s="45">
        <v>13.949999999999998</v>
      </c>
      <c r="AK41" s="47">
        <v>620.66476898044925</v>
      </c>
      <c r="AL41" s="40">
        <v>658.88</v>
      </c>
      <c r="AM41" s="41">
        <v>106.15714519809558</v>
      </c>
      <c r="AN41" s="40">
        <v>1</v>
      </c>
      <c r="AO41" s="42">
        <v>10</v>
      </c>
      <c r="AP41" s="40">
        <v>14</v>
      </c>
      <c r="AQ41" s="42">
        <v>8.7000000000000046</v>
      </c>
      <c r="AR41" s="43">
        <v>9.3500000000000014</v>
      </c>
      <c r="AS41" s="48">
        <v>6.4990320969929716</v>
      </c>
      <c r="AT41" s="40">
        <v>10</v>
      </c>
      <c r="AU41" s="45">
        <v>9.1000000000000032</v>
      </c>
      <c r="AV41" s="49">
        <v>92.075000000000003</v>
      </c>
      <c r="AW41" s="50">
        <v>11</v>
      </c>
      <c r="AX41" s="51">
        <v>4</v>
      </c>
      <c r="AY41" s="65">
        <v>18000</v>
      </c>
      <c r="AZ41" s="53">
        <v>800</v>
      </c>
      <c r="BA41" s="61">
        <v>900</v>
      </c>
      <c r="BB41" s="53">
        <v>300</v>
      </c>
      <c r="BC41" s="54">
        <v>400</v>
      </c>
      <c r="BD41" s="55">
        <v>7000</v>
      </c>
      <c r="BE41" s="56">
        <v>3500</v>
      </c>
      <c r="BF41" s="37">
        <v>30766</v>
      </c>
    </row>
    <row r="42" spans="1:58">
      <c r="A42" s="38" t="s">
        <v>66</v>
      </c>
      <c r="B42" s="39">
        <v>93410</v>
      </c>
      <c r="C42" s="40">
        <v>103702.106309</v>
      </c>
      <c r="D42" s="41">
        <v>111.01820609035434</v>
      </c>
      <c r="E42" s="40">
        <v>8</v>
      </c>
      <c r="F42" s="42">
        <v>13.949999999999998</v>
      </c>
      <c r="G42" s="40">
        <v>8</v>
      </c>
      <c r="H42" s="42">
        <v>13.949999999999998</v>
      </c>
      <c r="I42" s="43">
        <v>13.949999999999998</v>
      </c>
      <c r="J42" s="44">
        <v>19367</v>
      </c>
      <c r="K42" s="40">
        <v>19236.384397999998</v>
      </c>
      <c r="L42" s="41">
        <v>99.325576485774775</v>
      </c>
      <c r="M42" s="40">
        <v>10</v>
      </c>
      <c r="N42" s="42">
        <v>13.649999999999997</v>
      </c>
      <c r="O42" s="40">
        <v>9</v>
      </c>
      <c r="P42" s="42">
        <v>13.799999999999997</v>
      </c>
      <c r="Q42" s="45">
        <v>13.724999999999998</v>
      </c>
      <c r="R42" s="46">
        <v>19.940000000000001</v>
      </c>
      <c r="S42" s="40">
        <v>11</v>
      </c>
      <c r="T42" s="43">
        <v>18.000000000000007</v>
      </c>
      <c r="U42" s="44">
        <v>2443</v>
      </c>
      <c r="V42" s="40">
        <v>2300</v>
      </c>
      <c r="W42" s="41">
        <v>94.14654113794515</v>
      </c>
      <c r="X42" s="40">
        <v>9</v>
      </c>
      <c r="Y42" s="42">
        <v>13.799999999999997</v>
      </c>
      <c r="Z42" s="40">
        <v>10</v>
      </c>
      <c r="AA42" s="42">
        <v>13.649999999999997</v>
      </c>
      <c r="AB42" s="45">
        <v>13.724999999999998</v>
      </c>
      <c r="AC42" s="44">
        <v>1453.9999999999998</v>
      </c>
      <c r="AD42" s="40">
        <v>1028</v>
      </c>
      <c r="AE42" s="41">
        <v>70.701513067400285</v>
      </c>
      <c r="AF42" s="40">
        <v>12</v>
      </c>
      <c r="AG42" s="42">
        <v>13.349999999999996</v>
      </c>
      <c r="AH42" s="40">
        <v>12</v>
      </c>
      <c r="AI42" s="42">
        <v>13.349999999999996</v>
      </c>
      <c r="AJ42" s="45">
        <v>13.349999999999996</v>
      </c>
      <c r="AK42" s="47">
        <v>11880.64061327365</v>
      </c>
      <c r="AL42" s="40">
        <v>8247.36</v>
      </c>
      <c r="AM42" s="41">
        <v>69.418478922640205</v>
      </c>
      <c r="AN42" s="40">
        <v>8</v>
      </c>
      <c r="AO42" s="42">
        <v>9.3000000000000025</v>
      </c>
      <c r="AP42" s="40">
        <v>8</v>
      </c>
      <c r="AQ42" s="42">
        <v>9.3000000000000025</v>
      </c>
      <c r="AR42" s="43">
        <v>9.3000000000000025</v>
      </c>
      <c r="AS42" s="48">
        <v>7.0018715896923442</v>
      </c>
      <c r="AT42" s="40">
        <v>6</v>
      </c>
      <c r="AU42" s="45">
        <v>9.5000000000000018</v>
      </c>
      <c r="AV42" s="49">
        <v>91.55</v>
      </c>
      <c r="AW42" s="50">
        <v>13</v>
      </c>
      <c r="AX42" s="51">
        <v>3</v>
      </c>
      <c r="AY42" s="65">
        <v>16000</v>
      </c>
      <c r="AZ42" s="53">
        <v>1000</v>
      </c>
      <c r="BA42" s="61">
        <v>1000</v>
      </c>
      <c r="BB42" s="53">
        <v>300</v>
      </c>
      <c r="BC42" s="54">
        <v>350</v>
      </c>
      <c r="BD42" s="55">
        <v>6500</v>
      </c>
      <c r="BE42" s="56">
        <v>3500</v>
      </c>
      <c r="BF42" s="37">
        <v>28450</v>
      </c>
    </row>
    <row r="43" spans="1:58" ht="17.25" thickBot="1">
      <c r="A43" s="66" t="s">
        <v>67</v>
      </c>
      <c r="B43" s="67">
        <v>136792</v>
      </c>
      <c r="C43" s="68">
        <v>146198.66944100001</v>
      </c>
      <c r="D43" s="69">
        <v>106.87662249327445</v>
      </c>
      <c r="E43" s="68">
        <v>14</v>
      </c>
      <c r="F43" s="70">
        <v>13.049999999999995</v>
      </c>
      <c r="G43" s="68">
        <v>1</v>
      </c>
      <c r="H43" s="70">
        <v>15</v>
      </c>
      <c r="I43" s="71">
        <v>14.024999999999999</v>
      </c>
      <c r="J43" s="72">
        <v>22641</v>
      </c>
      <c r="K43" s="68">
        <v>23558.025362</v>
      </c>
      <c r="L43" s="69">
        <v>104.05028648027914</v>
      </c>
      <c r="M43" s="68">
        <v>6</v>
      </c>
      <c r="N43" s="70">
        <v>14.249999999999998</v>
      </c>
      <c r="O43" s="68">
        <v>4</v>
      </c>
      <c r="P43" s="70">
        <v>14.549999999999999</v>
      </c>
      <c r="Q43" s="73">
        <v>14.399999999999999</v>
      </c>
      <c r="R43" s="74">
        <v>19.9316</v>
      </c>
      <c r="S43" s="68">
        <v>12</v>
      </c>
      <c r="T43" s="71">
        <v>17.800000000000008</v>
      </c>
      <c r="U43" s="72">
        <v>3910</v>
      </c>
      <c r="V43" s="68">
        <v>3837</v>
      </c>
      <c r="W43" s="69">
        <v>98.132992327365727</v>
      </c>
      <c r="X43" s="68">
        <v>1</v>
      </c>
      <c r="Y43" s="70">
        <v>15</v>
      </c>
      <c r="Z43" s="68">
        <v>1</v>
      </c>
      <c r="AA43" s="70">
        <v>15</v>
      </c>
      <c r="AB43" s="73">
        <v>15</v>
      </c>
      <c r="AC43" s="72">
        <v>2081</v>
      </c>
      <c r="AD43" s="68">
        <v>2175</v>
      </c>
      <c r="AE43" s="69">
        <v>104.51705910619894</v>
      </c>
      <c r="AF43" s="68">
        <v>1</v>
      </c>
      <c r="AG43" s="70">
        <v>15</v>
      </c>
      <c r="AH43" s="68">
        <v>2</v>
      </c>
      <c r="AI43" s="70">
        <v>14.85</v>
      </c>
      <c r="AJ43" s="73">
        <v>14.925000000000001</v>
      </c>
      <c r="AK43" s="75">
        <v>15428.440420201285</v>
      </c>
      <c r="AL43" s="68">
        <v>10249.879999999999</v>
      </c>
      <c r="AM43" s="69">
        <v>66.434971525568344</v>
      </c>
      <c r="AN43" s="68">
        <v>12</v>
      </c>
      <c r="AO43" s="70">
        <v>8.9000000000000039</v>
      </c>
      <c r="AP43" s="68">
        <v>7</v>
      </c>
      <c r="AQ43" s="70">
        <v>9.4000000000000021</v>
      </c>
      <c r="AR43" s="71">
        <v>9.1500000000000021</v>
      </c>
      <c r="AS43" s="76">
        <v>6.9891085550333232</v>
      </c>
      <c r="AT43" s="68">
        <v>7</v>
      </c>
      <c r="AU43" s="73">
        <v>9.4000000000000021</v>
      </c>
      <c r="AV43" s="77">
        <v>94.700000000000017</v>
      </c>
      <c r="AW43" s="78">
        <v>6</v>
      </c>
      <c r="AX43" s="79">
        <v>5</v>
      </c>
      <c r="AY43" s="80">
        <v>22000</v>
      </c>
      <c r="AZ43" s="81">
        <v>1300</v>
      </c>
      <c r="BA43" s="82">
        <v>1200</v>
      </c>
      <c r="BB43" s="81">
        <v>400</v>
      </c>
      <c r="BC43" s="83">
        <v>600</v>
      </c>
      <c r="BD43" s="84">
        <v>10000</v>
      </c>
      <c r="BE43" s="85">
        <v>4500</v>
      </c>
      <c r="BF43" s="86">
        <v>39650</v>
      </c>
    </row>
    <row r="44" spans="1:58" ht="17.25" thickBot="1">
      <c r="A44" s="87" t="s">
        <v>68</v>
      </c>
      <c r="B44" s="88">
        <v>8321000</v>
      </c>
      <c r="C44" s="89">
        <v>8978492.3516499996</v>
      </c>
      <c r="D44" s="89">
        <v>4270.0915362524011</v>
      </c>
      <c r="E44" s="89">
        <v>419</v>
      </c>
      <c r="F44" s="89">
        <v>527.99999999999989</v>
      </c>
      <c r="G44" s="89">
        <v>428</v>
      </c>
      <c r="H44" s="89">
        <v>526.65</v>
      </c>
      <c r="I44" s="90"/>
      <c r="J44" s="88">
        <v>1661000</v>
      </c>
      <c r="K44" s="89">
        <v>1777687.0445300005</v>
      </c>
      <c r="L44" s="89">
        <v>4124.4713825114186</v>
      </c>
      <c r="M44" s="89">
        <v>427</v>
      </c>
      <c r="N44" s="89">
        <v>526.79999999999984</v>
      </c>
      <c r="O44" s="89">
        <v>427</v>
      </c>
      <c r="P44" s="89">
        <v>526.79999999999984</v>
      </c>
      <c r="Q44" s="91"/>
      <c r="R44" s="92">
        <v>778.51969999999994</v>
      </c>
      <c r="S44" s="89">
        <v>414</v>
      </c>
      <c r="T44" s="90"/>
      <c r="U44" s="88">
        <v>250000</v>
      </c>
      <c r="V44" s="89">
        <v>237619</v>
      </c>
      <c r="W44" s="89">
        <v>3696.7167998273294</v>
      </c>
      <c r="X44" s="89">
        <v>414</v>
      </c>
      <c r="Y44" s="89">
        <v>528.75</v>
      </c>
      <c r="Z44" s="89">
        <v>430</v>
      </c>
      <c r="AA44" s="89">
        <v>526.34999999999991</v>
      </c>
      <c r="AB44" s="91"/>
      <c r="AC44" s="92">
        <v>149449</v>
      </c>
      <c r="AD44" s="89">
        <v>125899</v>
      </c>
      <c r="AE44" s="89">
        <v>3297.4763644199256</v>
      </c>
      <c r="AF44" s="89">
        <v>411</v>
      </c>
      <c r="AG44" s="89">
        <v>529.19999999999993</v>
      </c>
      <c r="AH44" s="89">
        <v>427</v>
      </c>
      <c r="AI44" s="89">
        <v>526.79999999999984</v>
      </c>
      <c r="AJ44" s="89">
        <v>527.99999999999989</v>
      </c>
      <c r="AK44" s="89">
        <v>1044000.3098933609</v>
      </c>
      <c r="AL44" s="89">
        <v>711668.65</v>
      </c>
      <c r="AM44" s="89">
        <v>2728.647522975476</v>
      </c>
      <c r="AN44" s="89">
        <v>430</v>
      </c>
      <c r="AO44" s="89">
        <v>350.90000000000003</v>
      </c>
      <c r="AP44" s="89">
        <v>418</v>
      </c>
      <c r="AQ44" s="89">
        <v>352.10000000000008</v>
      </c>
      <c r="AR44" s="90">
        <v>351.50000000000017</v>
      </c>
      <c r="AS44" s="88">
        <v>273.16989020573612</v>
      </c>
      <c r="AT44" s="89">
        <v>424</v>
      </c>
      <c r="AU44" s="91">
        <v>351.50000000000017</v>
      </c>
      <c r="AV44" s="93">
        <v>3517.6749999999993</v>
      </c>
      <c r="AW44" s="89"/>
      <c r="AX44" s="91"/>
      <c r="AY44" s="92">
        <f>SUM(AY4:AY43)</f>
        <v>1000000</v>
      </c>
      <c r="AZ44" s="89">
        <f>SUM(AZ4:AZ43)</f>
        <v>75916</v>
      </c>
      <c r="BA44" s="89">
        <f>SUM(BA4:BA43)</f>
        <v>80000</v>
      </c>
      <c r="BB44" s="89">
        <f>SUM(BB4:BB43)</f>
        <v>22000</v>
      </c>
      <c r="BC44" s="90">
        <f>SUM(BC4:BC43)</f>
        <v>25000</v>
      </c>
      <c r="BD44" s="88">
        <v>400000</v>
      </c>
      <c r="BE44" s="91">
        <v>200000</v>
      </c>
      <c r="BF44" s="94">
        <v>1802916</v>
      </c>
    </row>
  </sheetData>
  <sortState ref="A4:BF43">
    <sortCondition ref="A4:A43" customList="인천,서인천,인천계양,남인천,부평,의정부,수원,동수원,서수원,군포,안양,성남,성남분당,부천,안산,고양일산,고양덕양,시흥,광명,용인수지,남양주,평택,용인,화성,파주,김포,포천,강화,양평,가평,경기광주,이천,여주,안성,동두천,연천,오산,백령,하남,구리"/>
  </sortState>
  <mergeCells count="9">
    <mergeCell ref="AS2:AU2"/>
    <mergeCell ref="AY2:BC2"/>
    <mergeCell ref="BD2:BE2"/>
    <mergeCell ref="B2:I2"/>
    <mergeCell ref="J2:Q2"/>
    <mergeCell ref="R2:T2"/>
    <mergeCell ref="U2:AB2"/>
    <mergeCell ref="AC2:AJ2"/>
    <mergeCell ref="AK2:AR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3" sqref="B33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AD121"/>
  <sheetViews>
    <sheetView tabSelected="1" workbookViewId="0">
      <selection activeCell="I4" sqref="I4"/>
    </sheetView>
  </sheetViews>
  <sheetFormatPr defaultRowHeight="16.5"/>
  <cols>
    <col min="1" max="1" width="1.625" style="1" customWidth="1"/>
    <col min="2" max="2" width="14.75" style="114" customWidth="1"/>
    <col min="3" max="3" width="18.625" style="114" customWidth="1"/>
    <col min="4" max="4" width="18.625" style="414" customWidth="1"/>
    <col min="5" max="5" width="18.625" style="114" customWidth="1"/>
    <col min="6" max="6" width="14.5" style="1" customWidth="1"/>
    <col min="7" max="7" width="9" style="439"/>
    <col min="8" max="8" width="11.25" style="439" bestFit="1" customWidth="1"/>
    <col min="9" max="30" width="9" style="439"/>
    <col min="31" max="16384" width="9" style="1"/>
  </cols>
  <sheetData>
    <row r="1" spans="2:8" ht="4.5" customHeight="1" thickBot="1"/>
    <row r="2" spans="2:8" ht="40.5" customHeight="1" thickBot="1">
      <c r="B2" s="552" t="s">
        <v>305</v>
      </c>
      <c r="C2" s="553"/>
      <c r="D2" s="553"/>
      <c r="E2" s="553"/>
      <c r="F2" s="554"/>
    </row>
    <row r="3" spans="2:8" ht="19.5" customHeight="1" thickBot="1">
      <c r="B3" s="486"/>
      <c r="C3" s="486"/>
      <c r="D3" s="498"/>
      <c r="E3" s="486"/>
      <c r="F3" s="504" t="s">
        <v>304</v>
      </c>
    </row>
    <row r="4" spans="2:8" ht="39" customHeight="1">
      <c r="B4" s="556" t="s">
        <v>290</v>
      </c>
      <c r="C4" s="555" t="s">
        <v>288</v>
      </c>
      <c r="D4" s="555"/>
      <c r="E4" s="555"/>
      <c r="F4" s="558" t="s">
        <v>259</v>
      </c>
    </row>
    <row r="5" spans="2:8" ht="39" customHeight="1">
      <c r="B5" s="557"/>
      <c r="C5" s="481" t="s">
        <v>260</v>
      </c>
      <c r="D5" s="481" t="s">
        <v>261</v>
      </c>
      <c r="E5" s="480" t="s">
        <v>262</v>
      </c>
      <c r="F5" s="559"/>
    </row>
    <row r="6" spans="2:8" ht="16.5" customHeight="1">
      <c r="B6" s="485" t="s">
        <v>28</v>
      </c>
      <c r="C6" s="482">
        <f>VLOOKUP(B6,'평가 내역'!$A$5:$AA$45,26,FALSE)</f>
        <v>11000</v>
      </c>
      <c r="D6" s="482">
        <f>VLOOKUP(B6,'평가 내역'!$A$5:$AA$45,27,FALSE)</f>
        <v>7000</v>
      </c>
      <c r="E6" s="482">
        <f>SUM(C6:D6)</f>
        <v>18000</v>
      </c>
      <c r="F6" s="483"/>
      <c r="H6" s="487"/>
    </row>
    <row r="7" spans="2:8" ht="16.5" customHeight="1">
      <c r="B7" s="485" t="s">
        <v>29</v>
      </c>
      <c r="C7" s="482">
        <f>VLOOKUP(B7,'평가 내역'!$A$5:$AA$45,26,FALSE)</f>
        <v>9200</v>
      </c>
      <c r="D7" s="482">
        <f>VLOOKUP(B7,'평가 내역'!$A$5:$AA$45,27,FALSE)</f>
        <v>5500</v>
      </c>
      <c r="E7" s="482">
        <f t="shared" ref="E7:E46" si="0">SUM(C7:D7)</f>
        <v>14700</v>
      </c>
      <c r="F7" s="483"/>
      <c r="H7" s="487"/>
    </row>
    <row r="8" spans="2:8" ht="16.5" customHeight="1">
      <c r="B8" s="485" t="s">
        <v>30</v>
      </c>
      <c r="C8" s="482">
        <f>VLOOKUP(B8,'평가 내역'!$A$5:$AA$45,26,FALSE)</f>
        <v>8600</v>
      </c>
      <c r="D8" s="482">
        <f>VLOOKUP(B8,'평가 내역'!$A$5:$AA$45,27,FALSE)</f>
        <v>5000</v>
      </c>
      <c r="E8" s="482">
        <f t="shared" si="0"/>
        <v>13600</v>
      </c>
      <c r="F8" s="483"/>
      <c r="H8" s="487"/>
    </row>
    <row r="9" spans="2:8" ht="16.5" customHeight="1">
      <c r="B9" s="485" t="s">
        <v>31</v>
      </c>
      <c r="C9" s="482">
        <f>VLOOKUP(B9,'평가 내역'!$A$5:$AA$45,26,FALSE)</f>
        <v>11000</v>
      </c>
      <c r="D9" s="482">
        <f>VLOOKUP(B9,'평가 내역'!$A$5:$AA$45,27,FALSE)</f>
        <v>7000</v>
      </c>
      <c r="E9" s="482">
        <f t="shared" si="0"/>
        <v>18000</v>
      </c>
      <c r="F9" s="483"/>
      <c r="H9" s="487"/>
    </row>
    <row r="10" spans="2:8" ht="16.5" customHeight="1">
      <c r="B10" s="485" t="s">
        <v>263</v>
      </c>
      <c r="C10" s="482">
        <f>VLOOKUP(B10,'평가 내역'!$A$5:$AA$45,26,FALSE)</f>
        <v>11000</v>
      </c>
      <c r="D10" s="482">
        <f>VLOOKUP(B10,'평가 내역'!$A$5:$AA$45,27,FALSE)</f>
        <v>7000</v>
      </c>
      <c r="E10" s="482">
        <f t="shared" si="0"/>
        <v>18000</v>
      </c>
      <c r="F10" s="483"/>
      <c r="H10" s="487"/>
    </row>
    <row r="11" spans="2:8" ht="16.5" customHeight="1">
      <c r="B11" s="485" t="s">
        <v>264</v>
      </c>
      <c r="C11" s="482">
        <f>VLOOKUP(B11,'평가 내역'!$A$5:$AA$45,26,FALSE)</f>
        <v>9800</v>
      </c>
      <c r="D11" s="482">
        <f>VLOOKUP(B11,'평가 내역'!$A$5:$AA$45,27,FALSE)</f>
        <v>6000</v>
      </c>
      <c r="E11" s="482">
        <f t="shared" si="0"/>
        <v>15800</v>
      </c>
      <c r="F11" s="483"/>
      <c r="H11" s="487"/>
    </row>
    <row r="12" spans="2:8" ht="16.5" customHeight="1">
      <c r="B12" s="485" t="s">
        <v>265</v>
      </c>
      <c r="C12" s="482">
        <f>VLOOKUP(B12,'평가 내역'!$A$5:$AA$45,26,FALSE)</f>
        <v>10400</v>
      </c>
      <c r="D12" s="482">
        <f>VLOOKUP(B12,'평가 내역'!$A$5:$AA$45,27,FALSE)</f>
        <v>6500</v>
      </c>
      <c r="E12" s="482">
        <f t="shared" si="0"/>
        <v>16900</v>
      </c>
      <c r="F12" s="483"/>
      <c r="H12" s="487"/>
    </row>
    <row r="13" spans="2:8" ht="16.5" customHeight="1">
      <c r="B13" s="485" t="s">
        <v>266</v>
      </c>
      <c r="C13" s="482">
        <f>VLOOKUP(B13,'평가 내역'!$A$5:$AA$45,26,FALSE)</f>
        <v>10400</v>
      </c>
      <c r="D13" s="482">
        <f>VLOOKUP(B13,'평가 내역'!$A$5:$AA$45,27,FALSE)</f>
        <v>6500</v>
      </c>
      <c r="E13" s="482">
        <f t="shared" si="0"/>
        <v>16900</v>
      </c>
      <c r="F13" s="483"/>
      <c r="H13" s="487"/>
    </row>
    <row r="14" spans="2:8" ht="16.5" customHeight="1">
      <c r="B14" s="485" t="s">
        <v>267</v>
      </c>
      <c r="C14" s="482">
        <f>VLOOKUP(B14,'평가 내역'!$A$5:$AA$45,26,FALSE)</f>
        <v>9800</v>
      </c>
      <c r="D14" s="482">
        <f>VLOOKUP(B14,'평가 내역'!$A$5:$AA$45,27,FALSE)</f>
        <v>6000</v>
      </c>
      <c r="E14" s="482">
        <f t="shared" si="0"/>
        <v>15800</v>
      </c>
      <c r="F14" s="483"/>
      <c r="H14" s="487"/>
    </row>
    <row r="15" spans="2:8" ht="16.5" customHeight="1">
      <c r="B15" s="485" t="s">
        <v>268</v>
      </c>
      <c r="C15" s="482">
        <f>VLOOKUP(B15,'평가 내역'!$A$5:$AA$45,26,FALSE)</f>
        <v>8000</v>
      </c>
      <c r="D15" s="482">
        <f>VLOOKUP(B15,'평가 내역'!$A$5:$AA$45,27,FALSE)</f>
        <v>4500</v>
      </c>
      <c r="E15" s="482">
        <f t="shared" si="0"/>
        <v>12500</v>
      </c>
      <c r="F15" s="483"/>
      <c r="H15" s="487"/>
    </row>
    <row r="16" spans="2:8" ht="16.5" customHeight="1">
      <c r="B16" s="485" t="s">
        <v>37</v>
      </c>
      <c r="C16" s="482">
        <f>VLOOKUP(B16,'평가 내역'!$A$5:$AA$45,26,FALSE)</f>
        <v>8600</v>
      </c>
      <c r="D16" s="482">
        <f>VLOOKUP(B16,'평가 내역'!$A$5:$AA$45,27,FALSE)</f>
        <v>5000</v>
      </c>
      <c r="E16" s="482">
        <f t="shared" si="0"/>
        <v>13600</v>
      </c>
      <c r="F16" s="483"/>
      <c r="H16" s="487"/>
    </row>
    <row r="17" spans="2:8" ht="16.5" customHeight="1">
      <c r="B17" s="485" t="s">
        <v>38</v>
      </c>
      <c r="C17" s="482">
        <f>VLOOKUP(B17,'평가 내역'!$A$5:$AA$45,26,FALSE)</f>
        <v>10400</v>
      </c>
      <c r="D17" s="482">
        <f>VLOOKUP(B17,'평가 내역'!$A$5:$AA$45,27,FALSE)</f>
        <v>6500</v>
      </c>
      <c r="E17" s="482">
        <f t="shared" si="0"/>
        <v>16900</v>
      </c>
      <c r="F17" s="483"/>
      <c r="H17" s="487"/>
    </row>
    <row r="18" spans="2:8" ht="16.5" customHeight="1">
      <c r="B18" s="485" t="s">
        <v>39</v>
      </c>
      <c r="C18" s="482">
        <f>VLOOKUP(B18,'평가 내역'!$A$5:$AA$45,26,FALSE)</f>
        <v>10400</v>
      </c>
      <c r="D18" s="482">
        <f>VLOOKUP(B18,'평가 내역'!$A$5:$AA$45,27,FALSE)</f>
        <v>6500</v>
      </c>
      <c r="E18" s="482">
        <f t="shared" si="0"/>
        <v>16900</v>
      </c>
      <c r="F18" s="483"/>
      <c r="H18" s="487"/>
    </row>
    <row r="19" spans="2:8" ht="16.5" customHeight="1">
      <c r="B19" s="485" t="s">
        <v>40</v>
      </c>
      <c r="C19" s="482">
        <f>VLOOKUP(B19,'평가 내역'!$A$5:$AA$45,26,FALSE)</f>
        <v>10400</v>
      </c>
      <c r="D19" s="482">
        <f>VLOOKUP(B19,'평가 내역'!$A$5:$AA$45,27,FALSE)</f>
        <v>6500</v>
      </c>
      <c r="E19" s="482">
        <f t="shared" si="0"/>
        <v>16900</v>
      </c>
      <c r="F19" s="483"/>
      <c r="H19" s="487"/>
    </row>
    <row r="20" spans="2:8" ht="16.5" customHeight="1">
      <c r="B20" s="485" t="s">
        <v>41</v>
      </c>
      <c r="C20" s="482">
        <f>VLOOKUP(B20,'평가 내역'!$A$5:$AA$45,26,FALSE)</f>
        <v>11000</v>
      </c>
      <c r="D20" s="482">
        <f>VLOOKUP(B20,'평가 내역'!$A$5:$AA$45,27,FALSE)</f>
        <v>7000</v>
      </c>
      <c r="E20" s="482">
        <f t="shared" si="0"/>
        <v>18000</v>
      </c>
      <c r="F20" s="483"/>
      <c r="H20" s="487"/>
    </row>
    <row r="21" spans="2:8" ht="16.5" customHeight="1">
      <c r="B21" s="485" t="s">
        <v>42</v>
      </c>
      <c r="C21" s="482">
        <f>VLOOKUP(B21,'평가 내역'!$A$5:$AA$45,26,FALSE)</f>
        <v>11000</v>
      </c>
      <c r="D21" s="482">
        <f>VLOOKUP(B21,'평가 내역'!$A$5:$AA$45,27,FALSE)</f>
        <v>7000</v>
      </c>
      <c r="E21" s="482">
        <f t="shared" si="0"/>
        <v>18000</v>
      </c>
      <c r="F21" s="483"/>
      <c r="H21" s="487"/>
    </row>
    <row r="22" spans="2:8" ht="16.5" customHeight="1">
      <c r="B22" s="485" t="s">
        <v>43</v>
      </c>
      <c r="C22" s="482">
        <f>VLOOKUP(B22,'평가 내역'!$A$5:$AA$45,26,FALSE)</f>
        <v>9800</v>
      </c>
      <c r="D22" s="482">
        <f>VLOOKUP(B22,'평가 내역'!$A$5:$AA$45,27,FALSE)</f>
        <v>6000</v>
      </c>
      <c r="E22" s="482">
        <f t="shared" si="0"/>
        <v>15800</v>
      </c>
      <c r="F22" s="483"/>
      <c r="H22" s="487"/>
    </row>
    <row r="23" spans="2:8" ht="16.5" customHeight="1">
      <c r="B23" s="485" t="s">
        <v>44</v>
      </c>
      <c r="C23" s="482">
        <f>VLOOKUP(B23,'평가 내역'!$A$5:$AA$45,26,FALSE)</f>
        <v>9200</v>
      </c>
      <c r="D23" s="482">
        <f>VLOOKUP(B23,'평가 내역'!$A$5:$AA$45,27,FALSE)</f>
        <v>5500</v>
      </c>
      <c r="E23" s="482">
        <f t="shared" si="0"/>
        <v>14700</v>
      </c>
      <c r="F23" s="483"/>
      <c r="H23" s="487"/>
    </row>
    <row r="24" spans="2:8" ht="16.5" customHeight="1">
      <c r="B24" s="485" t="s">
        <v>45</v>
      </c>
      <c r="C24" s="482">
        <f>VLOOKUP(B24,'평가 내역'!$A$5:$AA$45,26,FALSE)</f>
        <v>9800</v>
      </c>
      <c r="D24" s="482">
        <f>VLOOKUP(B24,'평가 내역'!$A$5:$AA$45,27,FALSE)</f>
        <v>6000</v>
      </c>
      <c r="E24" s="482">
        <f t="shared" si="0"/>
        <v>15800</v>
      </c>
      <c r="F24" s="483"/>
      <c r="H24" s="487"/>
    </row>
    <row r="25" spans="2:8" ht="16.5" customHeight="1">
      <c r="B25" s="485" t="s">
        <v>46</v>
      </c>
      <c r="C25" s="482">
        <f>VLOOKUP(B25,'평가 내역'!$A$5:$AA$45,26,FALSE)</f>
        <v>9200</v>
      </c>
      <c r="D25" s="482">
        <f>VLOOKUP(B25,'평가 내역'!$A$5:$AA$45,27,FALSE)</f>
        <v>5500</v>
      </c>
      <c r="E25" s="482">
        <f t="shared" si="0"/>
        <v>14700</v>
      </c>
      <c r="F25" s="483"/>
      <c r="H25" s="487"/>
    </row>
    <row r="26" spans="2:8" ht="16.5" customHeight="1">
      <c r="B26" s="485" t="s">
        <v>47</v>
      </c>
      <c r="C26" s="482">
        <f>VLOOKUP(B26,'평가 내역'!$A$5:$AA$45,26,FALSE)</f>
        <v>8600</v>
      </c>
      <c r="D26" s="482">
        <f>VLOOKUP(B26,'평가 내역'!$A$5:$AA$45,27,FALSE)</f>
        <v>5000</v>
      </c>
      <c r="E26" s="482">
        <f t="shared" si="0"/>
        <v>13600</v>
      </c>
      <c r="F26" s="483"/>
      <c r="H26" s="487"/>
    </row>
    <row r="27" spans="2:8" ht="16.5" customHeight="1">
      <c r="B27" s="485" t="s">
        <v>269</v>
      </c>
      <c r="C27" s="482">
        <f>VLOOKUP(B27,'평가 내역'!$A$5:$AA$45,26,FALSE)</f>
        <v>9200</v>
      </c>
      <c r="D27" s="482">
        <f>VLOOKUP(B27,'평가 내역'!$A$5:$AA$45,27,FALSE)</f>
        <v>5500</v>
      </c>
      <c r="E27" s="482">
        <f t="shared" si="0"/>
        <v>14700</v>
      </c>
      <c r="F27" s="483"/>
      <c r="H27" s="487"/>
    </row>
    <row r="28" spans="2:8" ht="16.5" customHeight="1">
      <c r="B28" s="485" t="s">
        <v>270</v>
      </c>
      <c r="C28" s="482">
        <f>VLOOKUP(B28,'평가 내역'!$A$5:$AA$45,26,FALSE)</f>
        <v>8600</v>
      </c>
      <c r="D28" s="482">
        <f>VLOOKUP(B28,'평가 내역'!$A$5:$AA$45,27,FALSE)</f>
        <v>5000</v>
      </c>
      <c r="E28" s="482">
        <f t="shared" si="0"/>
        <v>13600</v>
      </c>
      <c r="F28" s="483"/>
      <c r="H28" s="487"/>
    </row>
    <row r="29" spans="2:8" ht="16.5" customHeight="1">
      <c r="B29" s="485" t="s">
        <v>271</v>
      </c>
      <c r="C29" s="482">
        <f>VLOOKUP(B29,'평가 내역'!$A$5:$AA$45,26,FALSE)</f>
        <v>11000</v>
      </c>
      <c r="D29" s="482">
        <f>VLOOKUP(B29,'평가 내역'!$A$5:$AA$45,27,FALSE)</f>
        <v>7000</v>
      </c>
      <c r="E29" s="482">
        <f t="shared" si="0"/>
        <v>18000</v>
      </c>
      <c r="F29" s="483"/>
      <c r="H29" s="487"/>
    </row>
    <row r="30" spans="2:8" ht="16.5" customHeight="1">
      <c r="B30" s="485" t="s">
        <v>272</v>
      </c>
      <c r="C30" s="482">
        <f>VLOOKUP(B30,'평가 내역'!$A$5:$AA$45,26,FALSE)</f>
        <v>9800</v>
      </c>
      <c r="D30" s="482">
        <f>VLOOKUP(B30,'평가 내역'!$A$5:$AA$45,27,FALSE)</f>
        <v>6000</v>
      </c>
      <c r="E30" s="482">
        <f t="shared" si="0"/>
        <v>15800</v>
      </c>
      <c r="F30" s="483"/>
      <c r="H30" s="487"/>
    </row>
    <row r="31" spans="2:8" ht="16.5" customHeight="1">
      <c r="B31" s="485" t="s">
        <v>52</v>
      </c>
      <c r="C31" s="482">
        <f>VLOOKUP(B31,'평가 내역'!$A$5:$AA$45,26,FALSE)</f>
        <v>9200</v>
      </c>
      <c r="D31" s="482">
        <f>VLOOKUP(B31,'평가 내역'!$A$5:$AA$45,27,FALSE)</f>
        <v>5500</v>
      </c>
      <c r="E31" s="482">
        <f t="shared" si="0"/>
        <v>14700</v>
      </c>
      <c r="F31" s="483"/>
      <c r="H31" s="487"/>
    </row>
    <row r="32" spans="2:8" ht="16.5" customHeight="1">
      <c r="B32" s="485" t="s">
        <v>53</v>
      </c>
      <c r="C32" s="482">
        <f>VLOOKUP(B32,'평가 내역'!$A$5:$AA$45,26,FALSE)</f>
        <v>8600</v>
      </c>
      <c r="D32" s="482">
        <f>VLOOKUP(B32,'평가 내역'!$A$5:$AA$45,27,FALSE)</f>
        <v>5000</v>
      </c>
      <c r="E32" s="482">
        <f t="shared" si="0"/>
        <v>13600</v>
      </c>
      <c r="F32" s="483"/>
      <c r="H32" s="487"/>
    </row>
    <row r="33" spans="2:8" ht="16.5" customHeight="1">
      <c r="B33" s="485" t="s">
        <v>273</v>
      </c>
      <c r="C33" s="482">
        <f>VLOOKUP(B33,'평가 내역'!$A$5:$AA$45,26,FALSE)</f>
        <v>8000</v>
      </c>
      <c r="D33" s="482">
        <f>VLOOKUP(B33,'평가 내역'!$A$5:$AA$45,27,FALSE)</f>
        <v>4500</v>
      </c>
      <c r="E33" s="482">
        <f t="shared" si="0"/>
        <v>12500</v>
      </c>
      <c r="F33" s="483"/>
      <c r="H33" s="487"/>
    </row>
    <row r="34" spans="2:8" ht="16.5" customHeight="1">
      <c r="B34" s="485" t="s">
        <v>274</v>
      </c>
      <c r="C34" s="482">
        <f>VLOOKUP(B34,'평가 내역'!$A$5:$AA$45,26,FALSE)</f>
        <v>8000</v>
      </c>
      <c r="D34" s="482">
        <f>VLOOKUP(B34,'평가 내역'!$A$5:$AA$45,27,FALSE)</f>
        <v>4500</v>
      </c>
      <c r="E34" s="482">
        <f t="shared" si="0"/>
        <v>12500</v>
      </c>
      <c r="F34" s="483"/>
      <c r="H34" s="487"/>
    </row>
    <row r="35" spans="2:8" ht="16.5" customHeight="1">
      <c r="B35" s="485" t="s">
        <v>275</v>
      </c>
      <c r="C35" s="482">
        <f>VLOOKUP(B35,'평가 내역'!$A$5:$AA$45,26,FALSE)</f>
        <v>8000</v>
      </c>
      <c r="D35" s="482">
        <f>VLOOKUP(B35,'평가 내역'!$A$5:$AA$45,27,FALSE)</f>
        <v>4500</v>
      </c>
      <c r="E35" s="482">
        <f t="shared" si="0"/>
        <v>12500</v>
      </c>
      <c r="F35" s="483"/>
      <c r="H35" s="487"/>
    </row>
    <row r="36" spans="2:8" ht="16.5" customHeight="1">
      <c r="B36" s="485" t="s">
        <v>276</v>
      </c>
      <c r="C36" s="482">
        <f>VLOOKUP(B36,'평가 내역'!$A$5:$AA$45,26,FALSE)</f>
        <v>8000</v>
      </c>
      <c r="D36" s="482">
        <f>VLOOKUP(B36,'평가 내역'!$A$5:$AA$45,27,FALSE)</f>
        <v>4500</v>
      </c>
      <c r="E36" s="482">
        <f t="shared" si="0"/>
        <v>12500</v>
      </c>
      <c r="F36" s="483"/>
      <c r="H36" s="487"/>
    </row>
    <row r="37" spans="2:8" ht="16.5" customHeight="1">
      <c r="B37" s="485" t="s">
        <v>277</v>
      </c>
      <c r="C37" s="482">
        <f>VLOOKUP(B37,'평가 내역'!$A$5:$AA$45,26,FALSE)</f>
        <v>7000</v>
      </c>
      <c r="D37" s="482">
        <f>VLOOKUP(B37,'평가 내역'!$A$5:$AA$45,27,FALSE)</f>
        <v>4000</v>
      </c>
      <c r="E37" s="482">
        <f t="shared" si="0"/>
        <v>11000</v>
      </c>
      <c r="F37" s="483"/>
      <c r="H37" s="487"/>
    </row>
    <row r="38" spans="2:8" ht="16.5" customHeight="1">
      <c r="B38" s="485" t="s">
        <v>278</v>
      </c>
      <c r="C38" s="482">
        <f>VLOOKUP(B38,'평가 내역'!$A$5:$AA$45,26,FALSE)</f>
        <v>6000</v>
      </c>
      <c r="D38" s="482">
        <f>VLOOKUP(B38,'평가 내역'!$A$5:$AA$45,27,FALSE)</f>
        <v>3500</v>
      </c>
      <c r="E38" s="482">
        <f t="shared" si="0"/>
        <v>9500</v>
      </c>
      <c r="F38" s="483"/>
      <c r="H38" s="487"/>
    </row>
    <row r="39" spans="2:8" ht="16.5" customHeight="1">
      <c r="B39" s="485" t="s">
        <v>279</v>
      </c>
      <c r="C39" s="482">
        <f>VLOOKUP(B39,'평가 내역'!$A$5:$AA$45,26,FALSE)</f>
        <v>6000</v>
      </c>
      <c r="D39" s="482">
        <f>VLOOKUP(B39,'평가 내역'!$A$5:$AA$45,27,FALSE)</f>
        <v>3500</v>
      </c>
      <c r="E39" s="482">
        <f t="shared" si="0"/>
        <v>9500</v>
      </c>
      <c r="F39" s="483"/>
      <c r="H39" s="487"/>
    </row>
    <row r="40" spans="2:8" ht="16.5" customHeight="1">
      <c r="B40" s="485" t="s">
        <v>280</v>
      </c>
      <c r="C40" s="482">
        <f>VLOOKUP(B40,'평가 내역'!$A$5:$AA$45,26,FALSE)</f>
        <v>7000</v>
      </c>
      <c r="D40" s="482">
        <f>VLOOKUP(B40,'평가 내역'!$A$5:$AA$45,27,FALSE)</f>
        <v>4000</v>
      </c>
      <c r="E40" s="482">
        <f t="shared" si="0"/>
        <v>11000</v>
      </c>
      <c r="F40" s="483"/>
      <c r="H40" s="487"/>
    </row>
    <row r="41" spans="2:8" ht="16.5" customHeight="1">
      <c r="B41" s="485" t="s">
        <v>281</v>
      </c>
      <c r="C41" s="482">
        <f>VLOOKUP(B41,'평가 내역'!$A$5:$AA$45,26,FALSE)</f>
        <v>7000</v>
      </c>
      <c r="D41" s="482">
        <f>VLOOKUP(B41,'평가 내역'!$A$5:$AA$45,27,FALSE)</f>
        <v>4000</v>
      </c>
      <c r="E41" s="482">
        <f t="shared" si="0"/>
        <v>11000</v>
      </c>
      <c r="F41" s="483"/>
      <c r="H41" s="487"/>
    </row>
    <row r="42" spans="2:8" ht="16.5" customHeight="1">
      <c r="B42" s="485" t="s">
        <v>282</v>
      </c>
      <c r="C42" s="482">
        <f>VLOOKUP(B42,'평가 내역'!$A$5:$AA$45,26,FALSE)</f>
        <v>7000</v>
      </c>
      <c r="D42" s="482">
        <f>VLOOKUP(B42,'평가 내역'!$A$5:$AA$45,27,FALSE)</f>
        <v>4000</v>
      </c>
      <c r="E42" s="482">
        <f t="shared" si="0"/>
        <v>11000</v>
      </c>
      <c r="F42" s="483"/>
      <c r="H42" s="487"/>
    </row>
    <row r="43" spans="2:8" ht="16.5" customHeight="1">
      <c r="B43" s="485" t="s">
        <v>283</v>
      </c>
      <c r="C43" s="482">
        <f>VLOOKUP(B43,'평가 내역'!$A$5:$AA$45,26,FALSE)</f>
        <v>6000</v>
      </c>
      <c r="D43" s="482">
        <f>VLOOKUP(B43,'평가 내역'!$A$5:$AA$45,27,FALSE)</f>
        <v>3500</v>
      </c>
      <c r="E43" s="482">
        <f t="shared" si="0"/>
        <v>9500</v>
      </c>
      <c r="F43" s="483"/>
      <c r="H43" s="487"/>
    </row>
    <row r="44" spans="2:8" ht="16.5" customHeight="1">
      <c r="B44" s="485" t="s">
        <v>284</v>
      </c>
      <c r="C44" s="482">
        <f>VLOOKUP(B44,'평가 내역'!$A$5:$AA$45,26,FALSE)</f>
        <v>6000</v>
      </c>
      <c r="D44" s="482">
        <f>VLOOKUP(B44,'평가 내역'!$A$5:$AA$45,27,FALSE)</f>
        <v>3500</v>
      </c>
      <c r="E44" s="482">
        <f t="shared" si="0"/>
        <v>9500</v>
      </c>
      <c r="F44" s="483"/>
      <c r="H44" s="487"/>
    </row>
    <row r="45" spans="2:8" ht="16.5" customHeight="1">
      <c r="B45" s="485" t="s">
        <v>285</v>
      </c>
      <c r="C45" s="482">
        <f>VLOOKUP(B45,'평가 내역'!$A$5:$AA$45,26,FALSE)</f>
        <v>7000</v>
      </c>
      <c r="D45" s="482">
        <f>VLOOKUP(B45,'평가 내역'!$A$5:$AA$45,27,FALSE)</f>
        <v>4000</v>
      </c>
      <c r="E45" s="482">
        <f t="shared" si="0"/>
        <v>11000</v>
      </c>
      <c r="F45" s="483"/>
      <c r="H45" s="487"/>
    </row>
    <row r="46" spans="2:8" ht="16.5" customHeight="1">
      <c r="B46" s="485" t="s">
        <v>286</v>
      </c>
      <c r="C46" s="482">
        <f>VLOOKUP(B46,'평가 내역'!$A$5:$AA$45,26,FALSE)</f>
        <v>6000</v>
      </c>
      <c r="D46" s="482">
        <f>VLOOKUP(B46,'평가 내역'!$A$5:$AA$45,27,FALSE)</f>
        <v>3500</v>
      </c>
      <c r="E46" s="482">
        <f t="shared" si="0"/>
        <v>9500</v>
      </c>
      <c r="F46" s="483"/>
      <c r="H46" s="487"/>
    </row>
    <row r="47" spans="2:8" ht="18" thickBot="1">
      <c r="B47" s="488" t="s">
        <v>287</v>
      </c>
      <c r="C47" s="499">
        <f>SUM(C6:C46)</f>
        <v>361000</v>
      </c>
      <c r="D47" s="499">
        <f>SUM(D6:D46)</f>
        <v>217000</v>
      </c>
      <c r="E47" s="499">
        <f>SUM(E6:E46)</f>
        <v>578000</v>
      </c>
      <c r="F47" s="484"/>
    </row>
    <row r="48" spans="2:8" s="439" customFormat="1">
      <c r="B48" s="486"/>
      <c r="C48" s="500"/>
      <c r="D48" s="501"/>
      <c r="E48" s="486"/>
    </row>
    <row r="49" spans="2:5" s="439" customFormat="1">
      <c r="B49" s="486"/>
      <c r="C49" s="502"/>
      <c r="D49" s="501"/>
      <c r="E49" s="486"/>
    </row>
    <row r="50" spans="2:5" s="439" customFormat="1">
      <c r="B50" s="486"/>
      <c r="C50" s="486"/>
      <c r="D50" s="498"/>
      <c r="E50" s="486"/>
    </row>
    <row r="51" spans="2:5" s="439" customFormat="1">
      <c r="B51" s="486"/>
      <c r="C51" s="486"/>
      <c r="D51" s="498"/>
      <c r="E51" s="486"/>
    </row>
    <row r="52" spans="2:5" s="439" customFormat="1">
      <c r="B52" s="486"/>
      <c r="C52" s="486"/>
      <c r="D52" s="498"/>
      <c r="E52" s="503"/>
    </row>
    <row r="53" spans="2:5" s="439" customFormat="1">
      <c r="B53" s="486"/>
      <c r="C53" s="486"/>
      <c r="D53" s="498"/>
      <c r="E53" s="486"/>
    </row>
    <row r="54" spans="2:5" s="439" customFormat="1">
      <c r="B54" s="486"/>
      <c r="C54" s="486"/>
      <c r="D54" s="498"/>
      <c r="E54" s="486"/>
    </row>
    <row r="55" spans="2:5" s="439" customFormat="1">
      <c r="B55" s="486"/>
      <c r="C55" s="486"/>
      <c r="D55" s="498"/>
      <c r="E55" s="486"/>
    </row>
    <row r="56" spans="2:5" s="439" customFormat="1">
      <c r="B56" s="486"/>
      <c r="C56" s="486"/>
      <c r="D56" s="498"/>
      <c r="E56" s="486"/>
    </row>
    <row r="57" spans="2:5" s="439" customFormat="1">
      <c r="B57" s="486"/>
      <c r="C57" s="486"/>
      <c r="D57" s="498"/>
      <c r="E57" s="486"/>
    </row>
    <row r="58" spans="2:5" s="439" customFormat="1">
      <c r="B58" s="486"/>
      <c r="C58" s="486"/>
      <c r="D58" s="498"/>
      <c r="E58" s="486"/>
    </row>
    <row r="59" spans="2:5" s="439" customFormat="1">
      <c r="B59" s="486"/>
      <c r="C59" s="486"/>
      <c r="D59" s="498"/>
      <c r="E59" s="486"/>
    </row>
    <row r="60" spans="2:5" s="439" customFormat="1">
      <c r="B60" s="486"/>
      <c r="C60" s="486"/>
      <c r="D60" s="498"/>
      <c r="E60" s="486"/>
    </row>
    <row r="61" spans="2:5" s="439" customFormat="1">
      <c r="B61" s="486"/>
      <c r="C61" s="486"/>
      <c r="D61" s="498"/>
      <c r="E61" s="486"/>
    </row>
    <row r="62" spans="2:5" s="439" customFormat="1">
      <c r="B62" s="486"/>
      <c r="C62" s="486"/>
      <c r="D62" s="498"/>
      <c r="E62" s="486"/>
    </row>
    <row r="63" spans="2:5" s="439" customFormat="1">
      <c r="B63" s="486"/>
      <c r="C63" s="486"/>
      <c r="D63" s="498"/>
      <c r="E63" s="486"/>
    </row>
    <row r="64" spans="2:5" s="439" customFormat="1">
      <c r="B64" s="486"/>
      <c r="C64" s="486"/>
      <c r="D64" s="498"/>
      <c r="E64" s="486"/>
    </row>
    <row r="65" spans="2:5" s="439" customFormat="1">
      <c r="B65" s="486"/>
      <c r="C65" s="486"/>
      <c r="D65" s="498"/>
      <c r="E65" s="486"/>
    </row>
    <row r="66" spans="2:5" s="439" customFormat="1">
      <c r="B66" s="486"/>
      <c r="C66" s="486"/>
      <c r="D66" s="498"/>
      <c r="E66" s="486"/>
    </row>
    <row r="67" spans="2:5" s="439" customFormat="1">
      <c r="B67" s="486"/>
      <c r="C67" s="486"/>
      <c r="D67" s="498"/>
      <c r="E67" s="486"/>
    </row>
    <row r="68" spans="2:5" s="439" customFormat="1">
      <c r="B68" s="486"/>
      <c r="C68" s="486"/>
      <c r="D68" s="498"/>
      <c r="E68" s="486"/>
    </row>
    <row r="69" spans="2:5" s="439" customFormat="1">
      <c r="B69" s="486"/>
      <c r="C69" s="486"/>
      <c r="D69" s="498"/>
      <c r="E69" s="486"/>
    </row>
    <row r="70" spans="2:5" s="439" customFormat="1">
      <c r="B70" s="486"/>
      <c r="C70" s="486"/>
      <c r="D70" s="498"/>
      <c r="E70" s="486"/>
    </row>
    <row r="71" spans="2:5" s="439" customFormat="1">
      <c r="B71" s="486"/>
      <c r="C71" s="486"/>
      <c r="D71" s="498"/>
      <c r="E71" s="486"/>
    </row>
    <row r="72" spans="2:5" s="439" customFormat="1">
      <c r="B72" s="486"/>
      <c r="C72" s="486"/>
      <c r="D72" s="498"/>
      <c r="E72" s="486"/>
    </row>
    <row r="73" spans="2:5" s="439" customFormat="1">
      <c r="B73" s="486"/>
      <c r="C73" s="486"/>
      <c r="D73" s="498"/>
      <c r="E73" s="486"/>
    </row>
    <row r="74" spans="2:5" s="439" customFormat="1">
      <c r="B74" s="486"/>
      <c r="C74" s="486"/>
      <c r="D74" s="498"/>
      <c r="E74" s="486"/>
    </row>
    <row r="75" spans="2:5" s="439" customFormat="1">
      <c r="B75" s="486"/>
      <c r="C75" s="486"/>
      <c r="D75" s="498"/>
      <c r="E75" s="486"/>
    </row>
    <row r="76" spans="2:5" s="439" customFormat="1">
      <c r="B76" s="486"/>
      <c r="C76" s="486"/>
      <c r="D76" s="498"/>
      <c r="E76" s="486"/>
    </row>
    <row r="77" spans="2:5" s="439" customFormat="1">
      <c r="B77" s="486"/>
      <c r="C77" s="486"/>
      <c r="D77" s="498"/>
      <c r="E77" s="486"/>
    </row>
    <row r="78" spans="2:5" s="439" customFormat="1">
      <c r="B78" s="486"/>
      <c r="C78" s="486"/>
      <c r="D78" s="498"/>
      <c r="E78" s="486"/>
    </row>
    <row r="79" spans="2:5" s="439" customFormat="1">
      <c r="B79" s="486"/>
      <c r="C79" s="486"/>
      <c r="D79" s="498"/>
      <c r="E79" s="486"/>
    </row>
    <row r="80" spans="2:5" s="439" customFormat="1">
      <c r="B80" s="486"/>
      <c r="C80" s="486"/>
      <c r="D80" s="498"/>
      <c r="E80" s="486"/>
    </row>
    <row r="81" spans="2:5" s="439" customFormat="1">
      <c r="B81" s="486"/>
      <c r="C81" s="486"/>
      <c r="D81" s="498"/>
      <c r="E81" s="486"/>
    </row>
    <row r="82" spans="2:5" s="439" customFormat="1">
      <c r="B82" s="486"/>
      <c r="C82" s="486"/>
      <c r="D82" s="498"/>
      <c r="E82" s="486"/>
    </row>
    <row r="83" spans="2:5" s="439" customFormat="1">
      <c r="B83" s="486"/>
      <c r="C83" s="486"/>
      <c r="D83" s="498"/>
      <c r="E83" s="486"/>
    </row>
    <row r="84" spans="2:5" s="439" customFormat="1">
      <c r="B84" s="486"/>
      <c r="C84" s="486"/>
      <c r="D84" s="498"/>
      <c r="E84" s="486"/>
    </row>
    <row r="85" spans="2:5" s="439" customFormat="1">
      <c r="B85" s="486"/>
      <c r="C85" s="486"/>
      <c r="D85" s="498"/>
      <c r="E85" s="486"/>
    </row>
    <row r="86" spans="2:5" s="439" customFormat="1">
      <c r="B86" s="486"/>
      <c r="C86" s="486"/>
      <c r="D86" s="498"/>
      <c r="E86" s="486"/>
    </row>
    <row r="87" spans="2:5" s="439" customFormat="1">
      <c r="B87" s="486"/>
      <c r="C87" s="486"/>
      <c r="D87" s="498"/>
      <c r="E87" s="486"/>
    </row>
    <row r="88" spans="2:5" s="439" customFormat="1">
      <c r="B88" s="486"/>
      <c r="C88" s="486"/>
      <c r="D88" s="498"/>
      <c r="E88" s="486"/>
    </row>
    <row r="89" spans="2:5" s="439" customFormat="1">
      <c r="B89" s="486"/>
      <c r="C89" s="486"/>
      <c r="D89" s="498"/>
      <c r="E89" s="486"/>
    </row>
    <row r="90" spans="2:5" s="439" customFormat="1">
      <c r="B90" s="486"/>
      <c r="C90" s="486"/>
      <c r="D90" s="498"/>
      <c r="E90" s="486"/>
    </row>
    <row r="91" spans="2:5" s="439" customFormat="1">
      <c r="B91" s="486"/>
      <c r="C91" s="486"/>
      <c r="D91" s="498"/>
      <c r="E91" s="486"/>
    </row>
    <row r="92" spans="2:5" s="439" customFormat="1">
      <c r="B92" s="486"/>
      <c r="C92" s="486"/>
      <c r="D92" s="498"/>
      <c r="E92" s="486"/>
    </row>
    <row r="93" spans="2:5" s="439" customFormat="1">
      <c r="B93" s="486"/>
      <c r="C93" s="486"/>
      <c r="D93" s="498"/>
      <c r="E93" s="486"/>
    </row>
    <row r="94" spans="2:5" s="439" customFormat="1">
      <c r="B94" s="486"/>
      <c r="C94" s="486"/>
      <c r="D94" s="498"/>
      <c r="E94" s="486"/>
    </row>
    <row r="95" spans="2:5" s="439" customFormat="1">
      <c r="B95" s="486"/>
      <c r="C95" s="486"/>
      <c r="D95" s="498"/>
      <c r="E95" s="486"/>
    </row>
    <row r="96" spans="2:5" s="439" customFormat="1">
      <c r="B96" s="486"/>
      <c r="C96" s="486"/>
      <c r="D96" s="498"/>
      <c r="E96" s="486"/>
    </row>
    <row r="97" spans="2:5" s="439" customFormat="1">
      <c r="B97" s="486"/>
      <c r="C97" s="486"/>
      <c r="D97" s="498"/>
      <c r="E97" s="486"/>
    </row>
    <row r="98" spans="2:5" s="439" customFormat="1">
      <c r="B98" s="486"/>
      <c r="C98" s="486"/>
      <c r="D98" s="498"/>
      <c r="E98" s="486"/>
    </row>
    <row r="99" spans="2:5" s="439" customFormat="1">
      <c r="B99" s="486"/>
      <c r="C99" s="486"/>
      <c r="D99" s="498"/>
      <c r="E99" s="486"/>
    </row>
    <row r="100" spans="2:5" s="439" customFormat="1">
      <c r="B100" s="486"/>
      <c r="C100" s="486"/>
      <c r="D100" s="498"/>
      <c r="E100" s="486"/>
    </row>
    <row r="101" spans="2:5" s="439" customFormat="1">
      <c r="B101" s="486"/>
      <c r="C101" s="486"/>
      <c r="D101" s="498"/>
      <c r="E101" s="486"/>
    </row>
    <row r="102" spans="2:5" s="439" customFormat="1">
      <c r="B102" s="486"/>
      <c r="C102" s="486"/>
      <c r="D102" s="498"/>
      <c r="E102" s="486"/>
    </row>
    <row r="103" spans="2:5" s="439" customFormat="1">
      <c r="B103" s="486"/>
      <c r="C103" s="486"/>
      <c r="D103" s="498"/>
      <c r="E103" s="486"/>
    </row>
    <row r="104" spans="2:5" s="439" customFormat="1">
      <c r="B104" s="486"/>
      <c r="C104" s="486"/>
      <c r="D104" s="498"/>
      <c r="E104" s="486"/>
    </row>
    <row r="105" spans="2:5" s="439" customFormat="1">
      <c r="B105" s="486"/>
      <c r="C105" s="486"/>
      <c r="D105" s="498"/>
      <c r="E105" s="486"/>
    </row>
    <row r="106" spans="2:5" s="439" customFormat="1">
      <c r="B106" s="486"/>
      <c r="C106" s="486"/>
      <c r="D106" s="498"/>
      <c r="E106" s="486"/>
    </row>
    <row r="107" spans="2:5" s="439" customFormat="1">
      <c r="B107" s="486"/>
      <c r="C107" s="486"/>
      <c r="D107" s="498"/>
      <c r="E107" s="486"/>
    </row>
    <row r="108" spans="2:5" s="439" customFormat="1">
      <c r="B108" s="486"/>
      <c r="C108" s="486"/>
      <c r="D108" s="498"/>
      <c r="E108" s="486"/>
    </row>
    <row r="109" spans="2:5" s="439" customFormat="1">
      <c r="B109" s="486"/>
      <c r="C109" s="486"/>
      <c r="D109" s="498"/>
      <c r="E109" s="486"/>
    </row>
    <row r="110" spans="2:5" s="439" customFormat="1">
      <c r="B110" s="486"/>
      <c r="C110" s="486"/>
      <c r="D110" s="498"/>
      <c r="E110" s="486"/>
    </row>
    <row r="111" spans="2:5" s="439" customFormat="1">
      <c r="B111" s="486"/>
      <c r="C111" s="486"/>
      <c r="D111" s="498"/>
      <c r="E111" s="486"/>
    </row>
    <row r="112" spans="2:5" s="439" customFormat="1">
      <c r="B112" s="486"/>
      <c r="C112" s="486"/>
      <c r="D112" s="498"/>
      <c r="E112" s="486"/>
    </row>
    <row r="113" spans="2:5" s="439" customFormat="1">
      <c r="B113" s="486"/>
      <c r="C113" s="486"/>
      <c r="D113" s="498"/>
      <c r="E113" s="486"/>
    </row>
    <row r="114" spans="2:5" s="439" customFormat="1">
      <c r="B114" s="486"/>
      <c r="C114" s="486"/>
      <c r="D114" s="498"/>
      <c r="E114" s="486"/>
    </row>
    <row r="115" spans="2:5" s="439" customFormat="1">
      <c r="B115" s="486"/>
      <c r="C115" s="486"/>
      <c r="D115" s="498"/>
      <c r="E115" s="486"/>
    </row>
    <row r="116" spans="2:5" s="439" customFormat="1">
      <c r="B116" s="486"/>
      <c r="C116" s="486"/>
      <c r="D116" s="498"/>
      <c r="E116" s="486"/>
    </row>
    <row r="117" spans="2:5" s="439" customFormat="1">
      <c r="B117" s="486"/>
      <c r="C117" s="486"/>
      <c r="D117" s="498"/>
      <c r="E117" s="486"/>
    </row>
    <row r="118" spans="2:5" s="439" customFormat="1">
      <c r="B118" s="486"/>
      <c r="C118" s="486"/>
      <c r="D118" s="498"/>
      <c r="E118" s="486"/>
    </row>
    <row r="119" spans="2:5" s="439" customFormat="1">
      <c r="B119" s="486"/>
      <c r="C119" s="486"/>
      <c r="D119" s="498"/>
      <c r="E119" s="486"/>
    </row>
    <row r="120" spans="2:5" s="439" customFormat="1">
      <c r="B120" s="486"/>
      <c r="C120" s="486"/>
      <c r="D120" s="498"/>
      <c r="E120" s="486"/>
    </row>
    <row r="121" spans="2:5" s="439" customFormat="1">
      <c r="B121" s="486"/>
      <c r="C121" s="486"/>
      <c r="D121" s="498"/>
      <c r="E121" s="486"/>
    </row>
  </sheetData>
  <mergeCells count="4">
    <mergeCell ref="B2:F2"/>
    <mergeCell ref="C4:E4"/>
    <mergeCell ref="B4:B5"/>
    <mergeCell ref="F4:F5"/>
  </mergeCells>
  <phoneticPr fontId="2" type="noConversion"/>
  <pageMargins left="0.85" right="0.7" top="0.75" bottom="0.47" header="0.3" footer="0.3"/>
  <pageSetup paperSize="9" scale="86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I48"/>
  <sheetViews>
    <sheetView topLeftCell="U1" workbookViewId="0">
      <selection activeCell="AA2" sqref="AA2"/>
    </sheetView>
  </sheetViews>
  <sheetFormatPr defaultRowHeight="16.5"/>
  <cols>
    <col min="1" max="1" width="9" style="1"/>
    <col min="2" max="3" width="15.625" style="1" hidden="1" customWidth="1"/>
    <col min="4" max="4" width="17.375" style="1" customWidth="1"/>
    <col min="5" max="5" width="10.75" style="1" customWidth="1"/>
    <col min="6" max="6" width="11.5" style="1" hidden="1" customWidth="1"/>
    <col min="7" max="7" width="10.75" style="1" hidden="1" customWidth="1"/>
    <col min="8" max="8" width="9" style="1" hidden="1" customWidth="1"/>
    <col min="9" max="9" width="10.5" style="1" customWidth="1"/>
    <col min="10" max="10" width="10.625" style="1" customWidth="1"/>
    <col min="11" max="11" width="9" style="1" customWidth="1"/>
    <col min="12" max="13" width="9.375" style="1" hidden="1" customWidth="1"/>
    <col min="14" max="14" width="0" style="1" hidden="1" customWidth="1"/>
    <col min="15" max="15" width="9" style="1"/>
    <col min="16" max="16" width="11.5" style="1" customWidth="1"/>
    <col min="17" max="17" width="9" style="1"/>
    <col min="18" max="20" width="0" style="1" hidden="1" customWidth="1"/>
    <col min="21" max="21" width="9" style="1"/>
    <col min="22" max="22" width="11.25" style="1" customWidth="1"/>
    <col min="23" max="23" width="9" style="1"/>
    <col min="24" max="24" width="11.5" style="1" customWidth="1"/>
    <col min="25" max="25" width="9" style="114"/>
    <col min="26" max="26" width="18.75" style="1" customWidth="1"/>
    <col min="27" max="27" width="19.75" style="1" customWidth="1"/>
    <col min="28" max="35" width="9" style="439"/>
    <col min="36" max="16384" width="9" style="1"/>
  </cols>
  <sheetData>
    <row r="1" spans="1:32" ht="33.75">
      <c r="A1" s="569" t="s">
        <v>289</v>
      </c>
      <c r="B1" s="569"/>
      <c r="C1" s="569"/>
      <c r="D1" s="569"/>
      <c r="E1" s="569"/>
      <c r="F1" s="569"/>
      <c r="G1" s="569"/>
      <c r="H1" s="569"/>
      <c r="I1" s="569"/>
      <c r="J1" s="569"/>
      <c r="K1" s="569"/>
      <c r="L1" s="569"/>
      <c r="M1" s="569"/>
      <c r="N1" s="569"/>
      <c r="O1" s="569"/>
      <c r="P1" s="569"/>
      <c r="Q1" s="569"/>
      <c r="R1" s="569"/>
      <c r="S1" s="569"/>
      <c r="T1" s="569"/>
      <c r="U1" s="569"/>
      <c r="V1" s="569"/>
      <c r="W1" s="569"/>
      <c r="X1" s="569"/>
      <c r="Y1" s="569"/>
      <c r="Z1" s="569"/>
      <c r="AA1" s="569"/>
    </row>
    <row r="2" spans="1:32" s="439" customFormat="1" ht="18" customHeight="1" thickBo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2" t="s">
        <v>314</v>
      </c>
    </row>
    <row r="3" spans="1:32" ht="16.5" customHeight="1">
      <c r="A3" s="576" t="s">
        <v>83</v>
      </c>
      <c r="B3" s="573" t="s">
        <v>297</v>
      </c>
      <c r="C3" s="574"/>
      <c r="D3" s="574"/>
      <c r="E3" s="575"/>
      <c r="F3" s="570" t="s">
        <v>296</v>
      </c>
      <c r="G3" s="571"/>
      <c r="H3" s="571"/>
      <c r="I3" s="571"/>
      <c r="J3" s="571"/>
      <c r="K3" s="572"/>
      <c r="L3" s="568" t="s">
        <v>236</v>
      </c>
      <c r="M3" s="568"/>
      <c r="N3" s="568"/>
      <c r="O3" s="568"/>
      <c r="P3" s="568"/>
      <c r="Q3" s="568"/>
      <c r="R3" s="568" t="s">
        <v>237</v>
      </c>
      <c r="S3" s="568"/>
      <c r="T3" s="568"/>
      <c r="U3" s="568"/>
      <c r="V3" s="568"/>
      <c r="W3" s="568"/>
      <c r="X3" s="566" t="s">
        <v>303</v>
      </c>
      <c r="Y3" s="568" t="s">
        <v>72</v>
      </c>
      <c r="Z3" s="562" t="s">
        <v>309</v>
      </c>
      <c r="AA3" s="564" t="s">
        <v>310</v>
      </c>
    </row>
    <row r="4" spans="1:32" ht="45.75" customHeight="1">
      <c r="A4" s="577"/>
      <c r="B4" s="506" t="s">
        <v>230</v>
      </c>
      <c r="C4" s="506" t="s">
        <v>231</v>
      </c>
      <c r="D4" s="506" t="s">
        <v>232</v>
      </c>
      <c r="E4" s="441" t="s">
        <v>298</v>
      </c>
      <c r="F4" s="506" t="s">
        <v>230</v>
      </c>
      <c r="G4" s="506" t="s">
        <v>231</v>
      </c>
      <c r="H4" s="506" t="s">
        <v>232</v>
      </c>
      <c r="I4" s="441" t="s">
        <v>247</v>
      </c>
      <c r="J4" s="441" t="s">
        <v>311</v>
      </c>
      <c r="K4" s="441" t="s">
        <v>299</v>
      </c>
      <c r="L4" s="506" t="s">
        <v>230</v>
      </c>
      <c r="M4" s="506" t="s">
        <v>231</v>
      </c>
      <c r="N4" s="506" t="s">
        <v>232</v>
      </c>
      <c r="O4" s="441" t="s">
        <v>249</v>
      </c>
      <c r="P4" s="441" t="s">
        <v>312</v>
      </c>
      <c r="Q4" s="441" t="s">
        <v>300</v>
      </c>
      <c r="R4" s="506" t="s">
        <v>230</v>
      </c>
      <c r="S4" s="506" t="s">
        <v>231</v>
      </c>
      <c r="T4" s="506" t="s">
        <v>232</v>
      </c>
      <c r="U4" s="441" t="s">
        <v>253</v>
      </c>
      <c r="V4" s="441" t="s">
        <v>313</v>
      </c>
      <c r="W4" s="441" t="s">
        <v>301</v>
      </c>
      <c r="X4" s="567"/>
      <c r="Y4" s="567"/>
      <c r="Z4" s="563"/>
      <c r="AA4" s="565"/>
      <c r="AB4" s="560"/>
      <c r="AC4" s="560"/>
      <c r="AD4" s="560"/>
      <c r="AE4" s="561"/>
      <c r="AF4" s="561"/>
    </row>
    <row r="5" spans="1:32">
      <c r="A5" s="131" t="s">
        <v>31</v>
      </c>
      <c r="B5" s="440">
        <f>VLOOKUP(A5,총수신고!$C$6:$I$45,2,FALSE)</f>
        <v>451356</v>
      </c>
      <c r="C5" s="440">
        <f>VLOOKUP(A5,총수신고!$C$6:$I$45,4,FALSE)</f>
        <v>473815.45544799999</v>
      </c>
      <c r="D5" s="462">
        <f t="shared" ref="D5:D44" si="0">(C5/B5)*100</f>
        <v>104.97599576564841</v>
      </c>
      <c r="E5" s="471">
        <f t="shared" ref="E5:E45" si="1">D5*10/MAX($D$5:$D$45)</f>
        <v>8.8318635095383957</v>
      </c>
      <c r="F5" s="463">
        <f>VLOOKUP(A5,총수신고!$M$6:$U$45,2,FALSE)</f>
        <v>119184</v>
      </c>
      <c r="G5" s="463">
        <f>VLOOKUP(A5,총수신고!$M$6:$U$45,4,FALSE)</f>
        <v>127936.348378</v>
      </c>
      <c r="H5" s="462">
        <f t="shared" ref="H5:H44" si="2">(G5/F5)*100</f>
        <v>107.34355985534971</v>
      </c>
      <c r="I5" s="462">
        <f t="shared" ref="I5:I45" si="3">G5*20/MAX($G$5:$G$45)</f>
        <v>20</v>
      </c>
      <c r="J5" s="474">
        <f t="shared" ref="J5:J45" si="4">H5*20/MAX($H$5:$H$45)</f>
        <v>19.161542890606814</v>
      </c>
      <c r="K5" s="471">
        <f t="shared" ref="K5:K45" si="5">SUM(I5:J5)</f>
        <v>39.16154289060681</v>
      </c>
      <c r="L5" s="463">
        <f>VLOOKUP(A5,체크카드!$A$5:$D$44,2,FALSE)</f>
        <v>471032</v>
      </c>
      <c r="M5" s="463">
        <f>VLOOKUP(A5,체크카드!$A$5:$D$44,3,FALSE)</f>
        <v>237153.94399999999</v>
      </c>
      <c r="N5" s="462">
        <f t="shared" ref="N5:N44" si="6">(M5/L5)*100</f>
        <v>50.34773518571987</v>
      </c>
      <c r="O5" s="462">
        <f t="shared" ref="O5:O45" si="7">M5*15/MAX($M$5:$M$45)</f>
        <v>12.488143341821148</v>
      </c>
      <c r="P5" s="474">
        <f t="shared" ref="P5:P45" si="8">N5*15/MAX($N$5:$N$45)</f>
        <v>10.147781752127042</v>
      </c>
      <c r="Q5" s="471">
        <f t="shared" ref="Q5:Q45" si="9">SUM(O5:P5)</f>
        <v>22.635925093948188</v>
      </c>
      <c r="R5" s="463">
        <f>VLOOKUP(A5,스마트금융!$A$5:$D$45,2,FALSE)</f>
        <v>17231</v>
      </c>
      <c r="S5" s="463">
        <f>VLOOKUP(A5,스마트금융!$A$5:$D$45,3,FALSE)</f>
        <v>16819</v>
      </c>
      <c r="T5" s="462">
        <f t="shared" ref="T5:T44" si="10">(S5/R5)*100</f>
        <v>97.608960594277761</v>
      </c>
      <c r="U5" s="462">
        <f t="shared" ref="U5:U45" si="11">S5*10/MAX($S$5:$S$45)</f>
        <v>10</v>
      </c>
      <c r="V5" s="474">
        <f t="shared" ref="V5:V45" si="12">T5*10/MAX($T$5:$T$45)</f>
        <v>9.5905696931680531</v>
      </c>
      <c r="W5" s="477">
        <f t="shared" ref="W5:W45" si="13">SUM(U5:V5)</f>
        <v>19.590569693168053</v>
      </c>
      <c r="X5" s="462">
        <f t="shared" ref="X5:X45" si="14">SUM(E5,K5,Q5,W5)</f>
        <v>90.219901187261442</v>
      </c>
      <c r="Y5" s="464">
        <f t="shared" ref="Y5:Y45" si="15">RANK(X5,$X$5:$X$45)</f>
        <v>1</v>
      </c>
      <c r="Z5" s="465">
        <v>11000</v>
      </c>
      <c r="AA5" s="514">
        <v>7000</v>
      </c>
    </row>
    <row r="6" spans="1:32">
      <c r="A6" s="132" t="s">
        <v>42</v>
      </c>
      <c r="B6" s="440">
        <f>VLOOKUP(A6,총수신고!$C$6:$I$45,2,FALSE)</f>
        <v>311482</v>
      </c>
      <c r="C6" s="440">
        <f>VLOOKUP(A6,총수신고!$C$6:$I$45,4,FALSE)</f>
        <v>330344.58960399998</v>
      </c>
      <c r="D6" s="444">
        <f t="shared" si="0"/>
        <v>106.05575590371193</v>
      </c>
      <c r="E6" s="472">
        <f t="shared" si="1"/>
        <v>8.9227061263944112</v>
      </c>
      <c r="F6" s="446">
        <f>VLOOKUP(A6,총수신고!$M$6:$U$45,2,FALSE)</f>
        <v>88189</v>
      </c>
      <c r="G6" s="446">
        <f>VLOOKUP(A6,총수신고!$M$6:$U$45,4,FALSE)</f>
        <v>87545.718449000007</v>
      </c>
      <c r="H6" s="444">
        <f t="shared" si="2"/>
        <v>99.270564865232629</v>
      </c>
      <c r="I6" s="444">
        <f t="shared" si="3"/>
        <v>13.685824170991333</v>
      </c>
      <c r="J6" s="475">
        <f t="shared" si="4"/>
        <v>17.720459327072724</v>
      </c>
      <c r="K6" s="472">
        <f t="shared" si="5"/>
        <v>31.406283498064056</v>
      </c>
      <c r="L6" s="446">
        <f>VLOOKUP(A6,체크카드!$A$5:$D$44,2,FALSE)</f>
        <v>492000</v>
      </c>
      <c r="M6" s="446">
        <f>VLOOKUP(A6,체크카드!$A$5:$D$44,3,FALSE)</f>
        <v>284854.92700000003</v>
      </c>
      <c r="N6" s="444">
        <f t="shared" si="6"/>
        <v>57.897342886178869</v>
      </c>
      <c r="O6" s="444">
        <f t="shared" si="7"/>
        <v>15</v>
      </c>
      <c r="P6" s="475">
        <f t="shared" si="8"/>
        <v>11.669434533048259</v>
      </c>
      <c r="Q6" s="472">
        <f t="shared" si="9"/>
        <v>26.669434533048261</v>
      </c>
      <c r="R6" s="446">
        <f>VLOOKUP(A6,스마트금융!$A$5:$D$45,2,FALSE)</f>
        <v>14498</v>
      </c>
      <c r="S6" s="446">
        <f>VLOOKUP(A6,스마트금융!$A$5:$D$45,3,FALSE)</f>
        <v>13966</v>
      </c>
      <c r="T6" s="444">
        <f t="shared" si="10"/>
        <v>96.330528348737758</v>
      </c>
      <c r="U6" s="444">
        <f t="shared" si="11"/>
        <v>8.3037041441227188</v>
      </c>
      <c r="V6" s="475">
        <f t="shared" si="12"/>
        <v>9.4649573162490075</v>
      </c>
      <c r="W6" s="478">
        <f t="shared" si="13"/>
        <v>17.768661460371725</v>
      </c>
      <c r="X6" s="444">
        <f t="shared" si="14"/>
        <v>84.76708561787845</v>
      </c>
      <c r="Y6" s="461">
        <f t="shared" si="15"/>
        <v>2</v>
      </c>
      <c r="Z6" s="450">
        <v>11000</v>
      </c>
      <c r="AA6" s="515">
        <v>7000</v>
      </c>
    </row>
    <row r="7" spans="1:32">
      <c r="A7" s="132" t="s">
        <v>41</v>
      </c>
      <c r="B7" s="440">
        <f>VLOOKUP(A7,총수신고!$C$6:$I$45,2,FALSE)</f>
        <v>434890</v>
      </c>
      <c r="C7" s="440">
        <f>VLOOKUP(A7,총수신고!$C$6:$I$45,4,FALSE)</f>
        <v>461871.71724099998</v>
      </c>
      <c r="D7" s="444">
        <f t="shared" si="0"/>
        <v>106.20426251258938</v>
      </c>
      <c r="E7" s="472">
        <f t="shared" si="1"/>
        <v>8.9352003169977401</v>
      </c>
      <c r="F7" s="446">
        <f>VLOOKUP(A7,총수신고!$M$6:$U$45,2,FALSE)</f>
        <v>103016</v>
      </c>
      <c r="G7" s="446">
        <f>VLOOKUP(A7,총수신고!$M$6:$U$45,4,FALSE)</f>
        <v>105215.500635</v>
      </c>
      <c r="H7" s="444">
        <f t="shared" si="2"/>
        <v>102.13510584278171</v>
      </c>
      <c r="I7" s="444">
        <f t="shared" si="3"/>
        <v>16.448101257999156</v>
      </c>
      <c r="J7" s="475">
        <f t="shared" si="4"/>
        <v>18.231799037411871</v>
      </c>
      <c r="K7" s="472">
        <f t="shared" si="5"/>
        <v>34.679900295411031</v>
      </c>
      <c r="L7" s="446">
        <f>VLOOKUP(A7,체크카드!$A$5:$D$44,2,FALSE)</f>
        <v>375649</v>
      </c>
      <c r="M7" s="446">
        <f>VLOOKUP(A7,체크카드!$A$5:$D$44,3,FALSE)</f>
        <v>187597.43100000001</v>
      </c>
      <c r="N7" s="444">
        <f t="shared" si="6"/>
        <v>49.939552880481514</v>
      </c>
      <c r="O7" s="444">
        <f t="shared" si="7"/>
        <v>9.878577473227276</v>
      </c>
      <c r="P7" s="475">
        <f t="shared" si="8"/>
        <v>10.065511021708691</v>
      </c>
      <c r="Q7" s="472">
        <f t="shared" si="9"/>
        <v>19.944088494935968</v>
      </c>
      <c r="R7" s="446">
        <f>VLOOKUP(A7,스마트금융!$A$5:$D$45,2,FALSE)</f>
        <v>15679</v>
      </c>
      <c r="S7" s="446">
        <f>VLOOKUP(A7,스마트금융!$A$5:$D$45,3,FALSE)</f>
        <v>15720</v>
      </c>
      <c r="T7" s="444">
        <f t="shared" si="10"/>
        <v>100.26149626889469</v>
      </c>
      <c r="U7" s="444">
        <f t="shared" si="11"/>
        <v>9.3465723289137284</v>
      </c>
      <c r="V7" s="475">
        <f t="shared" si="12"/>
        <v>9.8511946203893324</v>
      </c>
      <c r="W7" s="478">
        <f t="shared" si="13"/>
        <v>19.197766949303059</v>
      </c>
      <c r="X7" s="444">
        <f t="shared" si="14"/>
        <v>82.756956056647795</v>
      </c>
      <c r="Y7" s="461">
        <f t="shared" si="15"/>
        <v>3</v>
      </c>
      <c r="Z7" s="450">
        <v>11000</v>
      </c>
      <c r="AA7" s="515">
        <v>7000</v>
      </c>
    </row>
    <row r="8" spans="1:32">
      <c r="A8" s="132" t="s">
        <v>28</v>
      </c>
      <c r="B8" s="440">
        <f>VLOOKUP(A8,총수신고!$C$6:$I$45,2,FALSE)</f>
        <v>317089</v>
      </c>
      <c r="C8" s="440">
        <f>VLOOKUP(A8,총수신고!$C$6:$I$45,4,FALSE)</f>
        <v>331940.03623899998</v>
      </c>
      <c r="D8" s="444">
        <f t="shared" si="0"/>
        <v>104.68355453484668</v>
      </c>
      <c r="E8" s="472">
        <f t="shared" si="1"/>
        <v>8.8072597797412726</v>
      </c>
      <c r="F8" s="446">
        <f>VLOOKUP(A8,총수신고!$M$6:$U$45,2,FALSE)</f>
        <v>73235</v>
      </c>
      <c r="G8" s="446">
        <f>VLOOKUP(A8,총수신고!$M$6:$U$45,4,FALSE)</f>
        <v>68177.165401999999</v>
      </c>
      <c r="H8" s="444">
        <f t="shared" si="2"/>
        <v>93.09369208984775</v>
      </c>
      <c r="I8" s="444">
        <f t="shared" si="3"/>
        <v>10.657982077237994</v>
      </c>
      <c r="J8" s="475">
        <f t="shared" si="4"/>
        <v>16.617846252055905</v>
      </c>
      <c r="K8" s="472">
        <f t="shared" si="5"/>
        <v>27.275828329293901</v>
      </c>
      <c r="L8" s="446">
        <f>VLOOKUP(A8,체크카드!$A$5:$D$44,2,FALSE)</f>
        <v>302599</v>
      </c>
      <c r="M8" s="446">
        <f>VLOOKUP(A8,체크카드!$A$5:$D$44,3,FALSE)</f>
        <v>225199.576</v>
      </c>
      <c r="N8" s="444">
        <f t="shared" si="6"/>
        <v>74.42178460602976</v>
      </c>
      <c r="O8" s="444">
        <f t="shared" si="7"/>
        <v>11.858645646666311</v>
      </c>
      <c r="P8" s="475">
        <f t="shared" si="8"/>
        <v>14.999999999999998</v>
      </c>
      <c r="Q8" s="472">
        <f t="shared" si="9"/>
        <v>26.858645646666311</v>
      </c>
      <c r="R8" s="446">
        <f>VLOOKUP(A8,스마트금융!$A$5:$D$45,2,FALSE)</f>
        <v>10583</v>
      </c>
      <c r="S8" s="446">
        <f>VLOOKUP(A8,스마트금융!$A$5:$D$45,3,FALSE)</f>
        <v>10145</v>
      </c>
      <c r="T8" s="444">
        <f t="shared" si="10"/>
        <v>95.861286969668342</v>
      </c>
      <c r="U8" s="444">
        <f t="shared" si="11"/>
        <v>6.0318687199001131</v>
      </c>
      <c r="V8" s="475">
        <f t="shared" si="12"/>
        <v>9.418851998443305</v>
      </c>
      <c r="W8" s="478">
        <f t="shared" si="13"/>
        <v>15.450720718343419</v>
      </c>
      <c r="X8" s="444">
        <f t="shared" si="14"/>
        <v>78.392454474044911</v>
      </c>
      <c r="Y8" s="461">
        <f t="shared" si="15"/>
        <v>4</v>
      </c>
      <c r="Z8" s="450">
        <v>11000</v>
      </c>
      <c r="AA8" s="515">
        <v>7000</v>
      </c>
    </row>
    <row r="9" spans="1:32">
      <c r="A9" s="132" t="s">
        <v>92</v>
      </c>
      <c r="B9" s="440">
        <f>VLOOKUP(A9,총수신고!$C$6:$I$45,2,FALSE)</f>
        <v>364169</v>
      </c>
      <c r="C9" s="440">
        <f>VLOOKUP(A9,총수신고!$C$6:$I$45,4,FALSE)</f>
        <v>385837.57888500002</v>
      </c>
      <c r="D9" s="444">
        <f t="shared" si="0"/>
        <v>105.9501437203606</v>
      </c>
      <c r="E9" s="472">
        <f t="shared" si="1"/>
        <v>8.9138207390113227</v>
      </c>
      <c r="F9" s="446">
        <f>VLOOKUP(A9,총수신고!$M$6:$U$45,2,FALSE)</f>
        <v>85242</v>
      </c>
      <c r="G9" s="446">
        <f>VLOOKUP(A9,총수신고!$M$6:$U$45,4,FALSE)</f>
        <v>85783.332934999999</v>
      </c>
      <c r="H9" s="444">
        <f t="shared" si="2"/>
        <v>100.63505423969406</v>
      </c>
      <c r="I9" s="444">
        <f t="shared" si="3"/>
        <v>13.410314429413768</v>
      </c>
      <c r="J9" s="475">
        <f t="shared" si="4"/>
        <v>17.964029800306072</v>
      </c>
      <c r="K9" s="472">
        <f t="shared" si="5"/>
        <v>31.374344229719838</v>
      </c>
      <c r="L9" s="446">
        <f>VLOOKUP(A9,체크카드!$A$5:$D$44,2,FALSE)</f>
        <v>370979</v>
      </c>
      <c r="M9" s="446">
        <f>VLOOKUP(A9,체크카드!$A$5:$D$44,3,FALSE)</f>
        <v>188527.18599999999</v>
      </c>
      <c r="N9" s="444">
        <f t="shared" si="6"/>
        <v>50.818829637257089</v>
      </c>
      <c r="O9" s="444">
        <f t="shared" si="7"/>
        <v>9.9275368686180379</v>
      </c>
      <c r="P9" s="475">
        <f t="shared" si="8"/>
        <v>10.242732670201182</v>
      </c>
      <c r="Q9" s="472">
        <f t="shared" si="9"/>
        <v>20.17026953881922</v>
      </c>
      <c r="R9" s="446">
        <f>VLOOKUP(A9,스마트금융!$A$5:$D$45,2,FALSE)</f>
        <v>10119</v>
      </c>
      <c r="S9" s="446">
        <f>VLOOKUP(A9,스마트금융!$A$5:$D$45,3,FALSE)</f>
        <v>9936</v>
      </c>
      <c r="T9" s="444">
        <f t="shared" si="10"/>
        <v>98.191520901274828</v>
      </c>
      <c r="U9" s="444">
        <f t="shared" si="11"/>
        <v>5.9076044949164634</v>
      </c>
      <c r="V9" s="475">
        <f t="shared" si="12"/>
        <v>9.647809163711667</v>
      </c>
      <c r="W9" s="478">
        <f t="shared" si="13"/>
        <v>15.55541365862813</v>
      </c>
      <c r="X9" s="444">
        <f t="shared" si="14"/>
        <v>76.013848166178505</v>
      </c>
      <c r="Y9" s="461">
        <f t="shared" si="15"/>
        <v>5</v>
      </c>
      <c r="Z9" s="450">
        <v>11000</v>
      </c>
      <c r="AA9" s="515">
        <v>7000</v>
      </c>
    </row>
    <row r="10" spans="1:32">
      <c r="A10" s="132" t="s">
        <v>39</v>
      </c>
      <c r="B10" s="440">
        <f>VLOOKUP(A10,총수신고!$C$6:$I$45,2,FALSE)</f>
        <v>354661</v>
      </c>
      <c r="C10" s="440">
        <f>VLOOKUP(A10,총수신고!$C$6:$I$45,4,FALSE)</f>
        <v>378428.31660100003</v>
      </c>
      <c r="D10" s="444">
        <f t="shared" si="0"/>
        <v>106.70141814324101</v>
      </c>
      <c r="E10" s="472">
        <f t="shared" si="1"/>
        <v>8.9770271236013723</v>
      </c>
      <c r="F10" s="446">
        <f>VLOOKUP(A10,총수신고!$M$6:$U$45,2,FALSE)</f>
        <v>88844</v>
      </c>
      <c r="G10" s="446">
        <f>VLOOKUP(A10,총수신고!$M$6:$U$45,4,FALSE)</f>
        <v>89468.126504999993</v>
      </c>
      <c r="H10" s="444">
        <f t="shared" si="2"/>
        <v>100.70249707914995</v>
      </c>
      <c r="I10" s="444">
        <f t="shared" si="3"/>
        <v>13.986349874651413</v>
      </c>
      <c r="J10" s="475">
        <f t="shared" si="4"/>
        <v>17.976068797919343</v>
      </c>
      <c r="K10" s="472">
        <f t="shared" si="5"/>
        <v>31.962418672570756</v>
      </c>
      <c r="L10" s="446">
        <f>VLOOKUP(A10,체크카드!$A$5:$D$44,2,FALSE)</f>
        <v>319800</v>
      </c>
      <c r="M10" s="446">
        <f>VLOOKUP(A10,체크카드!$A$5:$D$44,3,FALSE)</f>
        <v>155942.79699999999</v>
      </c>
      <c r="N10" s="444">
        <f t="shared" si="6"/>
        <v>48.762600687929954</v>
      </c>
      <c r="O10" s="444">
        <f t="shared" si="7"/>
        <v>8.2116956151507949</v>
      </c>
      <c r="P10" s="475">
        <f t="shared" si="8"/>
        <v>9.8282917319304257</v>
      </c>
      <c r="Q10" s="472">
        <f t="shared" si="9"/>
        <v>18.039987347081222</v>
      </c>
      <c r="R10" s="446">
        <f>VLOOKUP(A10,스마트금융!$A$5:$D$45,2,FALSE)</f>
        <v>10603</v>
      </c>
      <c r="S10" s="446">
        <f>VLOOKUP(A10,스마트금융!$A$5:$D$45,3,FALSE)</f>
        <v>10492</v>
      </c>
      <c r="T10" s="444">
        <f t="shared" si="10"/>
        <v>98.953126473639543</v>
      </c>
      <c r="U10" s="444">
        <f t="shared" si="11"/>
        <v>6.2381830073131574</v>
      </c>
      <c r="V10" s="475">
        <f t="shared" si="12"/>
        <v>9.7226407291335111</v>
      </c>
      <c r="W10" s="478">
        <f t="shared" si="13"/>
        <v>15.960823736446669</v>
      </c>
      <c r="X10" s="444">
        <f t="shared" si="14"/>
        <v>74.940256879700016</v>
      </c>
      <c r="Y10" s="461">
        <f t="shared" si="15"/>
        <v>6</v>
      </c>
      <c r="Z10" s="450">
        <v>10400</v>
      </c>
      <c r="AA10" s="515">
        <v>6500</v>
      </c>
    </row>
    <row r="11" spans="1:32">
      <c r="A11" s="132" t="s">
        <v>86</v>
      </c>
      <c r="B11" s="440">
        <f>VLOOKUP(A11,총수신고!$C$6:$I$45,2,FALSE)</f>
        <v>335902</v>
      </c>
      <c r="C11" s="440">
        <f>VLOOKUP(A11,총수신고!$C$6:$I$45,4,FALSE)</f>
        <v>352795.65870099998</v>
      </c>
      <c r="D11" s="444">
        <f t="shared" si="0"/>
        <v>105.02934150466506</v>
      </c>
      <c r="E11" s="472">
        <f t="shared" si="1"/>
        <v>8.836351604958443</v>
      </c>
      <c r="F11" s="446">
        <f>VLOOKUP(A11,총수신고!$M$6:$U$45,2,FALSE)</f>
        <v>82878</v>
      </c>
      <c r="G11" s="446">
        <f>VLOOKUP(A11,총수신고!$M$6:$U$45,4,FALSE)</f>
        <v>82572.820999999996</v>
      </c>
      <c r="H11" s="444">
        <f t="shared" si="2"/>
        <v>99.631773208812945</v>
      </c>
      <c r="I11" s="444">
        <f t="shared" si="3"/>
        <v>12.908422359536294</v>
      </c>
      <c r="J11" s="475">
        <f t="shared" si="4"/>
        <v>17.784937430624403</v>
      </c>
      <c r="K11" s="472">
        <f t="shared" si="5"/>
        <v>30.693359790160699</v>
      </c>
      <c r="L11" s="446">
        <f>VLOOKUP(A11,체크카드!$A$5:$D$44,2,FALSE)</f>
        <v>290833</v>
      </c>
      <c r="M11" s="446">
        <f>VLOOKUP(A11,체크카드!$A$5:$D$44,3,FALSE)</f>
        <v>146866.09599999999</v>
      </c>
      <c r="N11" s="444">
        <f t="shared" si="6"/>
        <v>50.498428995334088</v>
      </c>
      <c r="O11" s="444">
        <f t="shared" si="7"/>
        <v>7.7337312125901887</v>
      </c>
      <c r="P11" s="475">
        <f t="shared" si="8"/>
        <v>10.178154675272857</v>
      </c>
      <c r="Q11" s="472">
        <f t="shared" si="9"/>
        <v>17.911885887863047</v>
      </c>
      <c r="R11" s="446">
        <f>VLOOKUP(A11,스마트금융!$A$5:$D$45,2,FALSE)</f>
        <v>10878</v>
      </c>
      <c r="S11" s="446">
        <f>VLOOKUP(A11,스마트금융!$A$5:$D$45,3,FALSE)</f>
        <v>10632</v>
      </c>
      <c r="T11" s="444">
        <f t="shared" si="10"/>
        <v>97.738554881412014</v>
      </c>
      <c r="U11" s="444">
        <f t="shared" si="11"/>
        <v>6.3214222010821093</v>
      </c>
      <c r="V11" s="475">
        <f t="shared" si="12"/>
        <v>9.6033029815365651</v>
      </c>
      <c r="W11" s="478">
        <f t="shared" si="13"/>
        <v>15.924725182618674</v>
      </c>
      <c r="X11" s="444">
        <f t="shared" si="14"/>
        <v>73.366322465600859</v>
      </c>
      <c r="Y11" s="461">
        <f t="shared" si="15"/>
        <v>7</v>
      </c>
      <c r="Z11" s="450">
        <v>10400</v>
      </c>
      <c r="AA11" s="515">
        <v>6500</v>
      </c>
    </row>
    <row r="12" spans="1:32">
      <c r="A12" s="132" t="s">
        <v>40</v>
      </c>
      <c r="B12" s="440">
        <f>VLOOKUP(A12,총수신고!$C$6:$I$45,2,FALSE)</f>
        <v>676977</v>
      </c>
      <c r="C12" s="440">
        <f>VLOOKUP(A12,총수신고!$C$6:$I$45,4,FALSE)</f>
        <v>804658.43486699997</v>
      </c>
      <c r="D12" s="444">
        <f t="shared" si="0"/>
        <v>118.86052773831311</v>
      </c>
      <c r="E12" s="472">
        <f t="shared" si="1"/>
        <v>10</v>
      </c>
      <c r="F12" s="446">
        <f>VLOOKUP(A12,총수신고!$M$6:$U$45,2,FALSE)</f>
        <v>70406</v>
      </c>
      <c r="G12" s="446">
        <f>VLOOKUP(A12,총수신고!$M$6:$U$45,4,FALSE)</f>
        <v>78883.320808999997</v>
      </c>
      <c r="H12" s="444">
        <f t="shared" si="2"/>
        <v>112.04062268698689</v>
      </c>
      <c r="I12" s="444">
        <f t="shared" si="3"/>
        <v>12.331651138882251</v>
      </c>
      <c r="J12" s="475">
        <f t="shared" si="4"/>
        <v>20</v>
      </c>
      <c r="K12" s="472">
        <f t="shared" si="5"/>
        <v>32.331651138882251</v>
      </c>
      <c r="L12" s="446">
        <f>VLOOKUP(A12,체크카드!$A$5:$D$44,2,FALSE)</f>
        <v>169310</v>
      </c>
      <c r="M12" s="446">
        <f>VLOOKUP(A12,체크카드!$A$5:$D$44,3,FALSE)</f>
        <v>92933.096999999994</v>
      </c>
      <c r="N12" s="444">
        <f t="shared" si="6"/>
        <v>54.889313684956583</v>
      </c>
      <c r="O12" s="444">
        <f t="shared" si="7"/>
        <v>4.8937066656389616</v>
      </c>
      <c r="P12" s="475">
        <f t="shared" si="8"/>
        <v>11.063154553910557</v>
      </c>
      <c r="Q12" s="472">
        <f t="shared" si="9"/>
        <v>15.95686121954952</v>
      </c>
      <c r="R12" s="446">
        <f>VLOOKUP(A12,스마트금융!$A$5:$D$45,2,FALSE)</f>
        <v>7629</v>
      </c>
      <c r="S12" s="446">
        <f>VLOOKUP(A12,스마트금융!$A$5:$D$45,3,FALSE)</f>
        <v>7392</v>
      </c>
      <c r="T12" s="444">
        <f t="shared" si="10"/>
        <v>96.893432953204865</v>
      </c>
      <c r="U12" s="444">
        <f t="shared" si="11"/>
        <v>4.3950294310006539</v>
      </c>
      <c r="V12" s="475">
        <f t="shared" si="12"/>
        <v>9.5202655154848017</v>
      </c>
      <c r="W12" s="478">
        <f t="shared" si="13"/>
        <v>13.915294946485457</v>
      </c>
      <c r="X12" s="444">
        <f t="shared" si="14"/>
        <v>72.203807304917234</v>
      </c>
      <c r="Y12" s="461">
        <f t="shared" si="15"/>
        <v>8</v>
      </c>
      <c r="Z12" s="450">
        <v>10400</v>
      </c>
      <c r="AA12" s="515">
        <v>6500</v>
      </c>
    </row>
    <row r="13" spans="1:32">
      <c r="A13" s="132" t="s">
        <v>87</v>
      </c>
      <c r="B13" s="440">
        <f>VLOOKUP(A13,총수신고!$C$6:$I$45,2,FALSE)</f>
        <v>352943</v>
      </c>
      <c r="C13" s="440">
        <f>VLOOKUP(A13,총수신고!$C$6:$I$45,4,FALSE)</f>
        <v>369263.31683700002</v>
      </c>
      <c r="D13" s="444">
        <f t="shared" si="0"/>
        <v>104.6240658794763</v>
      </c>
      <c r="E13" s="472">
        <f t="shared" si="1"/>
        <v>8.8022548671346783</v>
      </c>
      <c r="F13" s="446">
        <f>VLOOKUP(A13,총수신고!$M$6:$U$45,2,FALSE)</f>
        <v>68028</v>
      </c>
      <c r="G13" s="446">
        <f>VLOOKUP(A13,총수신고!$M$6:$U$45,4,FALSE)</f>
        <v>71589.543223000001</v>
      </c>
      <c r="H13" s="444">
        <f t="shared" si="2"/>
        <v>105.23540780707943</v>
      </c>
      <c r="I13" s="444">
        <f t="shared" si="3"/>
        <v>11.191431384532244</v>
      </c>
      <c r="J13" s="475">
        <f t="shared" si="4"/>
        <v>18.785223659650747</v>
      </c>
      <c r="K13" s="472">
        <f t="shared" si="5"/>
        <v>29.976655044182991</v>
      </c>
      <c r="L13" s="446">
        <f>VLOOKUP(A13,체크카드!$A$5:$D$44,2,FALSE)</f>
        <v>243728</v>
      </c>
      <c r="M13" s="446">
        <f>VLOOKUP(A13,체크카드!$A$5:$D$44,3,FALSE)</f>
        <v>126301.715</v>
      </c>
      <c r="N13" s="444">
        <f t="shared" si="6"/>
        <v>51.820765361386464</v>
      </c>
      <c r="O13" s="444">
        <f t="shared" si="7"/>
        <v>6.650844150573529</v>
      </c>
      <c r="P13" s="475">
        <f t="shared" si="8"/>
        <v>10.444676710397214</v>
      </c>
      <c r="Q13" s="472">
        <f t="shared" si="9"/>
        <v>17.095520860970744</v>
      </c>
      <c r="R13" s="446">
        <f>VLOOKUP(A13,스마트금융!$A$5:$D$45,2,FALSE)</f>
        <v>10330</v>
      </c>
      <c r="S13" s="446">
        <f>VLOOKUP(A13,스마트금융!$A$5:$D$45,3,FALSE)</f>
        <v>10222</v>
      </c>
      <c r="T13" s="444">
        <f t="shared" si="10"/>
        <v>98.954501452081317</v>
      </c>
      <c r="U13" s="444">
        <f t="shared" si="11"/>
        <v>6.0776502764730367</v>
      </c>
      <c r="V13" s="475">
        <f t="shared" si="12"/>
        <v>9.7227758276581966</v>
      </c>
      <c r="W13" s="478">
        <f t="shared" si="13"/>
        <v>15.800426104131233</v>
      </c>
      <c r="X13" s="444">
        <f t="shared" si="14"/>
        <v>71.674856876419653</v>
      </c>
      <c r="Y13" s="461">
        <f t="shared" si="15"/>
        <v>9</v>
      </c>
      <c r="Z13" s="450">
        <v>10400</v>
      </c>
      <c r="AA13" s="515">
        <v>6500</v>
      </c>
    </row>
    <row r="14" spans="1:32">
      <c r="A14" s="132" t="s">
        <v>38</v>
      </c>
      <c r="B14" s="440">
        <f>VLOOKUP(A14,총수신고!$C$6:$I$45,2,FALSE)</f>
        <v>440866</v>
      </c>
      <c r="C14" s="440">
        <f>VLOOKUP(A14,총수신고!$C$6:$I$45,4,FALSE)</f>
        <v>452393.21272200003</v>
      </c>
      <c r="D14" s="444">
        <f t="shared" si="0"/>
        <v>102.61467491754865</v>
      </c>
      <c r="E14" s="472">
        <f t="shared" si="1"/>
        <v>8.633200345826177</v>
      </c>
      <c r="F14" s="446">
        <f>VLOOKUP(A14,총수신고!$M$6:$U$45,2,FALSE)</f>
        <v>81033</v>
      </c>
      <c r="G14" s="446">
        <f>VLOOKUP(A14,총수신고!$M$6:$U$45,4,FALSE)</f>
        <v>78125.132750999997</v>
      </c>
      <c r="H14" s="444">
        <f t="shared" si="2"/>
        <v>96.4115024138314</v>
      </c>
      <c r="I14" s="444">
        <f t="shared" si="3"/>
        <v>12.213125314499665</v>
      </c>
      <c r="J14" s="475">
        <f t="shared" si="4"/>
        <v>17.210097570268008</v>
      </c>
      <c r="K14" s="472">
        <f t="shared" si="5"/>
        <v>29.423222884767675</v>
      </c>
      <c r="L14" s="446">
        <f>VLOOKUP(A14,체크카드!$A$5:$D$44,2,FALSE)</f>
        <v>200655</v>
      </c>
      <c r="M14" s="446">
        <f>VLOOKUP(A14,체크카드!$A$5:$D$44,3,FALSE)</f>
        <v>105648.69500000001</v>
      </c>
      <c r="N14" s="444">
        <f t="shared" si="6"/>
        <v>52.651912486606363</v>
      </c>
      <c r="O14" s="444">
        <f t="shared" si="7"/>
        <v>5.5632895020980273</v>
      </c>
      <c r="P14" s="475">
        <f t="shared" si="8"/>
        <v>10.612197644547031</v>
      </c>
      <c r="Q14" s="472">
        <f t="shared" si="9"/>
        <v>16.175487146645057</v>
      </c>
      <c r="R14" s="446">
        <f>VLOOKUP(A14,스마트금융!$A$5:$D$45,2,FALSE)</f>
        <v>9960</v>
      </c>
      <c r="S14" s="446">
        <f>VLOOKUP(A14,스마트금융!$A$5:$D$45,3,FALSE)</f>
        <v>9763</v>
      </c>
      <c r="T14" s="444">
        <f t="shared" si="10"/>
        <v>98.02208835341365</v>
      </c>
      <c r="U14" s="444">
        <f t="shared" si="11"/>
        <v>5.8047446340448303</v>
      </c>
      <c r="V14" s="475">
        <f t="shared" si="12"/>
        <v>9.6311615665171022</v>
      </c>
      <c r="W14" s="478">
        <f t="shared" si="13"/>
        <v>15.435906200561933</v>
      </c>
      <c r="X14" s="444">
        <f t="shared" si="14"/>
        <v>69.667816577800835</v>
      </c>
      <c r="Y14" s="461">
        <f t="shared" si="15"/>
        <v>10</v>
      </c>
      <c r="Z14" s="450">
        <v>10400</v>
      </c>
      <c r="AA14" s="515">
        <v>6500</v>
      </c>
    </row>
    <row r="15" spans="1:32">
      <c r="A15" s="132" t="s">
        <v>88</v>
      </c>
      <c r="B15" s="440">
        <f>VLOOKUP(A15,총수신고!$C$6:$I$45,2,FALSE)</f>
        <v>281761</v>
      </c>
      <c r="C15" s="440">
        <f>VLOOKUP(A15,총수신고!$C$6:$I$45,4,FALSE)</f>
        <v>303655.90121400001</v>
      </c>
      <c r="D15" s="444">
        <f t="shared" si="0"/>
        <v>107.77073520252981</v>
      </c>
      <c r="E15" s="472">
        <f t="shared" si="1"/>
        <v>9.0669911410624948</v>
      </c>
      <c r="F15" s="446">
        <f>VLOOKUP(A15,총수신고!$M$6:$U$45,2,FALSE)</f>
        <v>56604</v>
      </c>
      <c r="G15" s="446">
        <f>VLOOKUP(A15,총수신고!$M$6:$U$45,4,FALSE)</f>
        <v>57791.652378999999</v>
      </c>
      <c r="H15" s="444">
        <f t="shared" si="2"/>
        <v>102.09817747685676</v>
      </c>
      <c r="I15" s="444">
        <f t="shared" si="3"/>
        <v>9.0344383143169154</v>
      </c>
      <c r="J15" s="475">
        <f t="shared" si="4"/>
        <v>18.225207077274678</v>
      </c>
      <c r="K15" s="472">
        <f t="shared" si="5"/>
        <v>27.259645391591594</v>
      </c>
      <c r="L15" s="446">
        <f>VLOOKUP(A15,체크카드!$A$5:$D$44,2,FALSE)</f>
        <v>190112</v>
      </c>
      <c r="M15" s="446">
        <f>VLOOKUP(A15,체크카드!$A$5:$D$44,3,FALSE)</f>
        <v>102677.7</v>
      </c>
      <c r="N15" s="444">
        <f t="shared" si="6"/>
        <v>54.009057818549067</v>
      </c>
      <c r="O15" s="444">
        <f t="shared" si="7"/>
        <v>5.406841707884519</v>
      </c>
      <c r="P15" s="475">
        <f t="shared" si="8"/>
        <v>10.885735562065488</v>
      </c>
      <c r="Q15" s="472">
        <f t="shared" si="9"/>
        <v>16.292577269950009</v>
      </c>
      <c r="R15" s="446">
        <f>VLOOKUP(A15,스마트금융!$A$5:$D$45,2,FALSE)</f>
        <v>9146</v>
      </c>
      <c r="S15" s="446">
        <f>VLOOKUP(A15,스마트금융!$A$5:$D$45,3,FALSE)</f>
        <v>9010</v>
      </c>
      <c r="T15" s="444">
        <f t="shared" si="10"/>
        <v>98.513011152416354</v>
      </c>
      <c r="U15" s="444">
        <f t="shared" si="11"/>
        <v>5.3570366847018249</v>
      </c>
      <c r="V15" s="475">
        <f t="shared" si="12"/>
        <v>9.6793971925204438</v>
      </c>
      <c r="W15" s="478">
        <f t="shared" si="13"/>
        <v>15.036433877222269</v>
      </c>
      <c r="X15" s="444">
        <f t="shared" si="14"/>
        <v>67.655647679826373</v>
      </c>
      <c r="Y15" s="461">
        <f t="shared" si="15"/>
        <v>11</v>
      </c>
      <c r="Z15" s="450">
        <v>9800</v>
      </c>
      <c r="AA15" s="515">
        <v>6000</v>
      </c>
    </row>
    <row r="16" spans="1:32">
      <c r="A16" s="132" t="s">
        <v>85</v>
      </c>
      <c r="B16" s="440">
        <f>VLOOKUP(A16,총수신고!$C$6:$I$45,2,FALSE)</f>
        <v>265241</v>
      </c>
      <c r="C16" s="440">
        <f>VLOOKUP(A16,총수신고!$C$6:$I$45,4,FALSE)</f>
        <v>278237.21139000001</v>
      </c>
      <c r="D16" s="444">
        <f t="shared" si="0"/>
        <v>104.89977469169548</v>
      </c>
      <c r="E16" s="472">
        <f t="shared" si="1"/>
        <v>8.8254508614201992</v>
      </c>
      <c r="F16" s="446">
        <f>VLOOKUP(A16,총수신고!$M$6:$U$45,2,FALSE)</f>
        <v>62839</v>
      </c>
      <c r="G16" s="446">
        <f>VLOOKUP(A16,총수신고!$M$6:$U$45,4,FALSE)</f>
        <v>61894.689847000001</v>
      </c>
      <c r="H16" s="444">
        <f t="shared" si="2"/>
        <v>98.497254646000101</v>
      </c>
      <c r="I16" s="444">
        <f t="shared" si="3"/>
        <v>9.6758568822249504</v>
      </c>
      <c r="J16" s="475">
        <f t="shared" si="4"/>
        <v>17.5824182843354</v>
      </c>
      <c r="K16" s="472">
        <f t="shared" si="5"/>
        <v>27.258275166560352</v>
      </c>
      <c r="L16" s="446">
        <f>VLOOKUP(A16,체크카드!$A$5:$D$44,2,FALSE)</f>
        <v>253357</v>
      </c>
      <c r="M16" s="446">
        <f>VLOOKUP(A16,체크카드!$A$5:$D$44,3,FALSE)</f>
        <v>123961.905</v>
      </c>
      <c r="N16" s="444">
        <f t="shared" si="6"/>
        <v>48.927760038206955</v>
      </c>
      <c r="O16" s="444">
        <f t="shared" si="7"/>
        <v>6.5276335381764339</v>
      </c>
      <c r="P16" s="475">
        <f t="shared" si="8"/>
        <v>9.8615802410312163</v>
      </c>
      <c r="Q16" s="472">
        <f t="shared" si="9"/>
        <v>16.389213779207651</v>
      </c>
      <c r="R16" s="446">
        <f>VLOOKUP(A16,스마트금융!$A$5:$D$45,2,FALSE)</f>
        <v>9262</v>
      </c>
      <c r="S16" s="446">
        <f>VLOOKUP(A16,스마트금융!$A$5:$D$45,3,FALSE)</f>
        <v>8995</v>
      </c>
      <c r="T16" s="444">
        <f t="shared" si="10"/>
        <v>97.117253293025257</v>
      </c>
      <c r="U16" s="444">
        <f t="shared" si="11"/>
        <v>5.3481181996551523</v>
      </c>
      <c r="V16" s="475">
        <f t="shared" si="12"/>
        <v>9.5422569858859507</v>
      </c>
      <c r="W16" s="478">
        <f t="shared" si="13"/>
        <v>14.890375185541103</v>
      </c>
      <c r="X16" s="444">
        <f t="shared" si="14"/>
        <v>67.3633149927293</v>
      </c>
      <c r="Y16" s="461">
        <f t="shared" si="15"/>
        <v>12</v>
      </c>
      <c r="Z16" s="450">
        <v>9800</v>
      </c>
      <c r="AA16" s="515">
        <v>6000</v>
      </c>
    </row>
    <row r="17" spans="1:27">
      <c r="A17" s="132" t="s">
        <v>43</v>
      </c>
      <c r="B17" s="440">
        <f>VLOOKUP(A17,총수신고!$C$6:$I$45,2,FALSE)</f>
        <v>294194</v>
      </c>
      <c r="C17" s="440">
        <f>VLOOKUP(A17,총수신고!$C$6:$I$45,4,FALSE)</f>
        <v>318628.69283399999</v>
      </c>
      <c r="D17" s="444">
        <f t="shared" si="0"/>
        <v>108.30563941956667</v>
      </c>
      <c r="E17" s="472">
        <f t="shared" si="1"/>
        <v>9.1119938200186699</v>
      </c>
      <c r="F17" s="446">
        <f>VLOOKUP(A17,총수신고!$M$6:$U$45,2,FALSE)</f>
        <v>50574</v>
      </c>
      <c r="G17" s="446">
        <f>VLOOKUP(A17,총수신고!$M$6:$U$45,4,FALSE)</f>
        <v>54749.740362999997</v>
      </c>
      <c r="H17" s="444">
        <f t="shared" si="2"/>
        <v>108.25669388025467</v>
      </c>
      <c r="I17" s="444">
        <f t="shared" si="3"/>
        <v>8.5589030884697017</v>
      </c>
      <c r="J17" s="475">
        <f t="shared" si="4"/>
        <v>19.324543417202605</v>
      </c>
      <c r="K17" s="472">
        <f t="shared" si="5"/>
        <v>27.883446505672307</v>
      </c>
      <c r="L17" s="446">
        <f>VLOOKUP(A17,체크카드!$A$5:$D$44,2,FALSE)</f>
        <v>210662</v>
      </c>
      <c r="M17" s="446">
        <f>VLOOKUP(A17,체크카드!$A$5:$D$44,3,FALSE)</f>
        <v>103312.95299999999</v>
      </c>
      <c r="N17" s="444">
        <f t="shared" si="6"/>
        <v>49.042045076947907</v>
      </c>
      <c r="O17" s="444">
        <f t="shared" si="7"/>
        <v>5.4402931040051827</v>
      </c>
      <c r="P17" s="475">
        <f t="shared" si="8"/>
        <v>9.8846148348694225</v>
      </c>
      <c r="Q17" s="472">
        <f t="shared" si="9"/>
        <v>15.324907938874606</v>
      </c>
      <c r="R17" s="446">
        <f>VLOOKUP(A17,스마트금융!$A$5:$D$45,2,FALSE)</f>
        <v>8647</v>
      </c>
      <c r="S17" s="446">
        <f>VLOOKUP(A17,스마트금융!$A$5:$D$45,3,FALSE)</f>
        <v>8421</v>
      </c>
      <c r="T17" s="444">
        <f t="shared" si="10"/>
        <v>97.386376778073327</v>
      </c>
      <c r="U17" s="444">
        <f t="shared" si="11"/>
        <v>5.0068375052024496</v>
      </c>
      <c r="V17" s="475">
        <f t="shared" si="12"/>
        <v>9.5686997174108797</v>
      </c>
      <c r="W17" s="478">
        <f t="shared" si="13"/>
        <v>14.575537222613329</v>
      </c>
      <c r="X17" s="444">
        <f t="shared" si="14"/>
        <v>66.895885487178916</v>
      </c>
      <c r="Y17" s="461">
        <f t="shared" si="15"/>
        <v>13</v>
      </c>
      <c r="Z17" s="450">
        <v>9800</v>
      </c>
      <c r="AA17" s="515">
        <v>6000</v>
      </c>
    </row>
    <row r="18" spans="1:27">
      <c r="A18" s="132" t="s">
        <v>93</v>
      </c>
      <c r="B18" s="440">
        <f>VLOOKUP(A18,총수신고!$C$6:$I$45,2,FALSE)</f>
        <v>195824</v>
      </c>
      <c r="C18" s="440">
        <f>VLOOKUP(A18,총수신고!$C$6:$I$45,4,FALSE)</f>
        <v>218197.14419399999</v>
      </c>
      <c r="D18" s="444">
        <f t="shared" si="0"/>
        <v>111.42512878605277</v>
      </c>
      <c r="E18" s="472">
        <f t="shared" si="1"/>
        <v>9.3744433838767449</v>
      </c>
      <c r="F18" s="446">
        <f>VLOOKUP(A18,총수신고!$M$6:$U$45,2,FALSE)</f>
        <v>53537</v>
      </c>
      <c r="G18" s="446">
        <f>VLOOKUP(A18,총수신고!$M$6:$U$45,4,FALSE)</f>
        <v>51192.368634999999</v>
      </c>
      <c r="H18" s="444">
        <f t="shared" si="2"/>
        <v>95.620540252535619</v>
      </c>
      <c r="I18" s="444">
        <f t="shared" si="3"/>
        <v>8.0027872116135939</v>
      </c>
      <c r="J18" s="475">
        <f t="shared" si="4"/>
        <v>17.068905537891411</v>
      </c>
      <c r="K18" s="472">
        <f t="shared" si="5"/>
        <v>25.071692749505004</v>
      </c>
      <c r="L18" s="446">
        <f>VLOOKUP(A18,체크카드!$A$5:$D$44,2,FALSE)</f>
        <v>288782</v>
      </c>
      <c r="M18" s="446">
        <f>VLOOKUP(A18,체크카드!$A$5:$D$44,3,FALSE)</f>
        <v>144771.52799999999</v>
      </c>
      <c r="N18" s="444">
        <f t="shared" si="6"/>
        <v>50.131769985663922</v>
      </c>
      <c r="O18" s="444">
        <f t="shared" si="7"/>
        <v>7.6234346474898773</v>
      </c>
      <c r="P18" s="475">
        <f t="shared" si="8"/>
        <v>10.10425312649695</v>
      </c>
      <c r="Q18" s="472">
        <f t="shared" si="9"/>
        <v>17.727687773986826</v>
      </c>
      <c r="R18" s="446">
        <f>VLOOKUP(A18,스마트금융!$A$5:$D$45,2,FALSE)</f>
        <v>8313</v>
      </c>
      <c r="S18" s="446">
        <f>VLOOKUP(A18,스마트금융!$A$5:$D$45,3,FALSE)</f>
        <v>8169</v>
      </c>
      <c r="T18" s="444">
        <f t="shared" si="10"/>
        <v>98.267773367015522</v>
      </c>
      <c r="U18" s="444">
        <f t="shared" si="11"/>
        <v>4.8570069564183367</v>
      </c>
      <c r="V18" s="475">
        <f t="shared" si="12"/>
        <v>9.6553013507251286</v>
      </c>
      <c r="W18" s="478">
        <f t="shared" si="13"/>
        <v>14.512308307143465</v>
      </c>
      <c r="X18" s="444">
        <f t="shared" si="14"/>
        <v>66.686132214512043</v>
      </c>
      <c r="Y18" s="461">
        <f t="shared" si="15"/>
        <v>14</v>
      </c>
      <c r="Z18" s="450">
        <v>9800</v>
      </c>
      <c r="AA18" s="515">
        <v>6000</v>
      </c>
    </row>
    <row r="19" spans="1:27">
      <c r="A19" s="132" t="s">
        <v>45</v>
      </c>
      <c r="B19" s="440">
        <f>VLOOKUP(A19,총수신고!$C$6:$I$45,2,FALSE)</f>
        <v>147268</v>
      </c>
      <c r="C19" s="440">
        <f>VLOOKUP(A19,총수신고!$C$6:$I$45,4,FALSE)</f>
        <v>154069.27998299999</v>
      </c>
      <c r="D19" s="444">
        <f t="shared" si="0"/>
        <v>104.61830131664721</v>
      </c>
      <c r="E19" s="472">
        <f t="shared" si="1"/>
        <v>8.8017698816698822</v>
      </c>
      <c r="F19" s="446">
        <f>VLOOKUP(A19,총수신고!$M$6:$U$45,2,FALSE)</f>
        <v>48945</v>
      </c>
      <c r="G19" s="446">
        <f>VLOOKUP(A19,총수신고!$M$6:$U$45,4,FALSE)</f>
        <v>47470.035056000001</v>
      </c>
      <c r="H19" s="444">
        <f t="shared" si="2"/>
        <v>96.986484944325269</v>
      </c>
      <c r="I19" s="444">
        <f t="shared" si="3"/>
        <v>7.4208832216697802</v>
      </c>
      <c r="J19" s="475">
        <f t="shared" si="4"/>
        <v>17.312735794994808</v>
      </c>
      <c r="K19" s="472">
        <f t="shared" si="5"/>
        <v>24.733619016664587</v>
      </c>
      <c r="L19" s="446">
        <f>VLOOKUP(A19,체크카드!$A$5:$D$44,2,FALSE)</f>
        <v>273983</v>
      </c>
      <c r="M19" s="446">
        <f>VLOOKUP(A19,체크카드!$A$5:$D$44,3,FALSE)</f>
        <v>133372.21</v>
      </c>
      <c r="N19" s="444">
        <f t="shared" si="6"/>
        <v>48.679009281597764</v>
      </c>
      <c r="O19" s="444">
        <f t="shared" si="7"/>
        <v>7.0231649881204259</v>
      </c>
      <c r="P19" s="475">
        <f t="shared" si="8"/>
        <v>9.8114435590248625</v>
      </c>
      <c r="Q19" s="472">
        <f t="shared" si="9"/>
        <v>16.834608547145287</v>
      </c>
      <c r="R19" s="446">
        <f>VLOOKUP(A19,스마트금융!$A$5:$D$45,2,FALSE)</f>
        <v>8275</v>
      </c>
      <c r="S19" s="446">
        <f>VLOOKUP(A19,스마트금융!$A$5:$D$45,3,FALSE)</f>
        <v>8110</v>
      </c>
      <c r="T19" s="444">
        <f t="shared" si="10"/>
        <v>98.006042296072508</v>
      </c>
      <c r="U19" s="444">
        <f t="shared" si="11"/>
        <v>4.8219275819014209</v>
      </c>
      <c r="V19" s="475">
        <f t="shared" si="12"/>
        <v>9.6295849609442747</v>
      </c>
      <c r="W19" s="478">
        <f t="shared" si="13"/>
        <v>14.451512542845695</v>
      </c>
      <c r="X19" s="444">
        <f t="shared" si="14"/>
        <v>64.821509988325445</v>
      </c>
      <c r="Y19" s="461">
        <f t="shared" si="15"/>
        <v>15</v>
      </c>
      <c r="Z19" s="450">
        <v>9800</v>
      </c>
      <c r="AA19" s="515">
        <v>6000</v>
      </c>
    </row>
    <row r="20" spans="1:27">
      <c r="A20" s="132" t="s">
        <v>46</v>
      </c>
      <c r="B20" s="440">
        <f>VLOOKUP(A20,총수신고!$C$6:$I$45,2,FALSE)</f>
        <v>215956</v>
      </c>
      <c r="C20" s="440">
        <f>VLOOKUP(A20,총수신고!$C$6:$I$45,4,FALSE)</f>
        <v>226206.78490999999</v>
      </c>
      <c r="D20" s="444">
        <f t="shared" si="0"/>
        <v>104.74670067513752</v>
      </c>
      <c r="E20" s="472">
        <f t="shared" si="1"/>
        <v>8.8125724046717178</v>
      </c>
      <c r="F20" s="446">
        <f>VLOOKUP(A20,총수신고!$M$6:$U$45,2,FALSE)</f>
        <v>47487</v>
      </c>
      <c r="G20" s="446">
        <f>VLOOKUP(A20,총수신고!$M$6:$U$45,4,FALSE)</f>
        <v>45117.917862000002</v>
      </c>
      <c r="H20" s="444">
        <f t="shared" si="2"/>
        <v>95.011093271842824</v>
      </c>
      <c r="I20" s="444">
        <f t="shared" si="3"/>
        <v>7.0531820602999957</v>
      </c>
      <c r="J20" s="475">
        <f t="shared" si="4"/>
        <v>16.960115178452682</v>
      </c>
      <c r="K20" s="472">
        <f t="shared" si="5"/>
        <v>24.013297238752678</v>
      </c>
      <c r="L20" s="446">
        <f>VLOOKUP(A20,체크카드!$A$5:$D$44,2,FALSE)</f>
        <v>146150</v>
      </c>
      <c r="M20" s="446">
        <f>VLOOKUP(A20,체크카드!$A$5:$D$44,3,FALSE)</f>
        <v>88721.324999999997</v>
      </c>
      <c r="N20" s="444">
        <f t="shared" si="6"/>
        <v>60.705661991105032</v>
      </c>
      <c r="O20" s="444">
        <f t="shared" si="7"/>
        <v>4.6719215602684656</v>
      </c>
      <c r="P20" s="475">
        <f t="shared" si="8"/>
        <v>12.235462165909935</v>
      </c>
      <c r="Q20" s="472">
        <f t="shared" si="9"/>
        <v>16.907383726178402</v>
      </c>
      <c r="R20" s="446">
        <f>VLOOKUP(A20,스마트금융!$A$5:$D$45,2,FALSE)</f>
        <v>6595</v>
      </c>
      <c r="S20" s="446">
        <f>VLOOKUP(A20,스마트금융!$A$5:$D$45,3,FALSE)</f>
        <v>6570</v>
      </c>
      <c r="T20" s="444">
        <f t="shared" si="10"/>
        <v>99.620924943138746</v>
      </c>
      <c r="U20" s="444">
        <f t="shared" si="11"/>
        <v>3.9062964504429516</v>
      </c>
      <c r="V20" s="475">
        <f t="shared" si="12"/>
        <v>9.7882552764427917</v>
      </c>
      <c r="W20" s="478">
        <f t="shared" si="13"/>
        <v>13.694551726885743</v>
      </c>
      <c r="X20" s="444">
        <f t="shared" si="14"/>
        <v>63.427805096488541</v>
      </c>
      <c r="Y20" s="461">
        <f t="shared" si="15"/>
        <v>16</v>
      </c>
      <c r="Z20" s="450">
        <v>9200</v>
      </c>
      <c r="AA20" s="515">
        <v>5500</v>
      </c>
    </row>
    <row r="21" spans="1:27">
      <c r="A21" s="132" t="s">
        <v>90</v>
      </c>
      <c r="B21" s="440">
        <f>VLOOKUP(A21,총수신고!$C$6:$I$45,2,FALSE)</f>
        <v>173602</v>
      </c>
      <c r="C21" s="440">
        <f>VLOOKUP(A21,총수신고!$C$6:$I$45,4,FALSE)</f>
        <v>180191.37622400001</v>
      </c>
      <c r="D21" s="444">
        <f t="shared" si="0"/>
        <v>103.79567990230527</v>
      </c>
      <c r="E21" s="472">
        <f t="shared" si="1"/>
        <v>8.7325609163392688</v>
      </c>
      <c r="F21" s="446">
        <f>VLOOKUP(A21,총수신고!$M$6:$U$45,2,FALSE)</f>
        <v>39956</v>
      </c>
      <c r="G21" s="446">
        <f>VLOOKUP(A21,총수신고!$M$6:$U$45,4,FALSE)</f>
        <v>39064.390805000003</v>
      </c>
      <c r="H21" s="444">
        <f t="shared" si="2"/>
        <v>97.768522387125842</v>
      </c>
      <c r="I21" s="444">
        <f t="shared" si="3"/>
        <v>6.1068478661874233</v>
      </c>
      <c r="J21" s="475">
        <f t="shared" si="4"/>
        <v>17.452334705469518</v>
      </c>
      <c r="K21" s="472">
        <f t="shared" si="5"/>
        <v>23.55918257165694</v>
      </c>
      <c r="L21" s="446">
        <f>VLOOKUP(A21,체크카드!$A$5:$D$44,2,FALSE)</f>
        <v>216281</v>
      </c>
      <c r="M21" s="446">
        <f>VLOOKUP(A21,체크카드!$A$5:$D$44,3,FALSE)</f>
        <v>109722.075</v>
      </c>
      <c r="N21" s="444">
        <f t="shared" si="6"/>
        <v>50.731259333922075</v>
      </c>
      <c r="O21" s="444">
        <f t="shared" si="7"/>
        <v>5.7777871084532793</v>
      </c>
      <c r="P21" s="475">
        <f t="shared" si="8"/>
        <v>10.225082535136847</v>
      </c>
      <c r="Q21" s="472">
        <f t="shared" si="9"/>
        <v>16.002869643590127</v>
      </c>
      <c r="R21" s="446">
        <f>VLOOKUP(A21,스마트금융!$A$5:$D$45,2,FALSE)</f>
        <v>8763</v>
      </c>
      <c r="S21" s="446">
        <f>VLOOKUP(A21,스마트금융!$A$5:$D$45,3,FALSE)</f>
        <v>8745</v>
      </c>
      <c r="T21" s="444">
        <f t="shared" si="10"/>
        <v>99.794590893529616</v>
      </c>
      <c r="U21" s="444">
        <f t="shared" si="11"/>
        <v>5.1994767822105947</v>
      </c>
      <c r="V21" s="475">
        <f t="shared" si="12"/>
        <v>9.8053188266579934</v>
      </c>
      <c r="W21" s="478">
        <f t="shared" si="13"/>
        <v>15.004795608868587</v>
      </c>
      <c r="X21" s="444">
        <f t="shared" si="14"/>
        <v>63.299408740454922</v>
      </c>
      <c r="Y21" s="461">
        <f t="shared" si="15"/>
        <v>17</v>
      </c>
      <c r="Z21" s="450">
        <v>9200</v>
      </c>
      <c r="AA21" s="515">
        <v>5500</v>
      </c>
    </row>
    <row r="22" spans="1:27">
      <c r="A22" s="132" t="s">
        <v>52</v>
      </c>
      <c r="B22" s="440">
        <f>VLOOKUP(A22,총수신고!$C$6:$I$45,2,FALSE)</f>
        <v>168242</v>
      </c>
      <c r="C22" s="440">
        <f>VLOOKUP(A22,총수신고!$C$6:$I$45,4,FALSE)</f>
        <v>181474.42251999999</v>
      </c>
      <c r="D22" s="444">
        <f t="shared" si="0"/>
        <v>107.86511246894355</v>
      </c>
      <c r="E22" s="472">
        <f t="shared" si="1"/>
        <v>9.0749313099486333</v>
      </c>
      <c r="F22" s="446">
        <f>VLOOKUP(A22,총수신고!$M$6:$U$45,2,FALSE)</f>
        <v>44175</v>
      </c>
      <c r="G22" s="446">
        <f>VLOOKUP(A22,총수신고!$M$6:$U$45,4,FALSE)</f>
        <v>43887.774230000003</v>
      </c>
      <c r="H22" s="444">
        <f t="shared" si="2"/>
        <v>99.349800181097919</v>
      </c>
      <c r="I22" s="444">
        <f t="shared" si="3"/>
        <v>6.8608764884127282</v>
      </c>
      <c r="J22" s="475">
        <f t="shared" si="4"/>
        <v>17.734603360542913</v>
      </c>
      <c r="K22" s="472">
        <f t="shared" si="5"/>
        <v>24.595479848955641</v>
      </c>
      <c r="L22" s="446">
        <f>VLOOKUP(A22,체크카드!$A$5:$D$44,2,FALSE)</f>
        <v>211366</v>
      </c>
      <c r="M22" s="446">
        <f>VLOOKUP(A22,체크카드!$A$5:$D$44,3,FALSE)</f>
        <v>107865.37</v>
      </c>
      <c r="N22" s="444">
        <f t="shared" si="6"/>
        <v>51.032507593463471</v>
      </c>
      <c r="O22" s="444">
        <f t="shared" si="7"/>
        <v>5.680016024437589</v>
      </c>
      <c r="P22" s="475">
        <f t="shared" si="8"/>
        <v>10.285800292941795</v>
      </c>
      <c r="Q22" s="472">
        <f t="shared" si="9"/>
        <v>15.965816317379385</v>
      </c>
      <c r="R22" s="446">
        <f>VLOOKUP(A22,스마트금융!$A$5:$D$45,2,FALSE)</f>
        <v>6592</v>
      </c>
      <c r="S22" s="446">
        <f>VLOOKUP(A22,스마트금융!$A$5:$D$45,3,FALSE)</f>
        <v>6549</v>
      </c>
      <c r="T22" s="444">
        <f t="shared" si="10"/>
        <v>99.347694174757279</v>
      </c>
      <c r="U22" s="444">
        <f t="shared" si="11"/>
        <v>3.8938105713776086</v>
      </c>
      <c r="V22" s="475">
        <f t="shared" si="12"/>
        <v>9.7614089837405018</v>
      </c>
      <c r="W22" s="478">
        <f t="shared" si="13"/>
        <v>13.65521955511811</v>
      </c>
      <c r="X22" s="444">
        <f t="shared" si="14"/>
        <v>63.291447031401766</v>
      </c>
      <c r="Y22" s="461">
        <f t="shared" si="15"/>
        <v>18</v>
      </c>
      <c r="Z22" s="450">
        <v>9200</v>
      </c>
      <c r="AA22" s="515">
        <v>5500</v>
      </c>
    </row>
    <row r="23" spans="1:27">
      <c r="A23" s="132" t="s">
        <v>44</v>
      </c>
      <c r="B23" s="440">
        <f>VLOOKUP(A23,총수신고!$C$6:$I$45,2,FALSE)</f>
        <v>245473</v>
      </c>
      <c r="C23" s="440">
        <f>VLOOKUP(A23,총수신고!$C$6:$I$45,4,FALSE)</f>
        <v>261445.68440599999</v>
      </c>
      <c r="D23" s="444">
        <f t="shared" si="0"/>
        <v>106.50690072064953</v>
      </c>
      <c r="E23" s="472">
        <f t="shared" si="1"/>
        <v>8.9606619411229875</v>
      </c>
      <c r="F23" s="446">
        <f>VLOOKUP(A23,총수신고!$M$6:$U$45,2,FALSE)</f>
        <v>51645</v>
      </c>
      <c r="G23" s="446">
        <f>VLOOKUP(A23,총수신고!$M$6:$U$45,4,FALSE)</f>
        <v>48725.054067999998</v>
      </c>
      <c r="H23" s="444">
        <f t="shared" si="2"/>
        <v>94.346120762900568</v>
      </c>
      <c r="I23" s="444">
        <f t="shared" si="3"/>
        <v>7.6170775054540769</v>
      </c>
      <c r="J23" s="475">
        <f t="shared" si="4"/>
        <v>16.841413141103246</v>
      </c>
      <c r="K23" s="472">
        <f t="shared" si="5"/>
        <v>24.458490646557323</v>
      </c>
      <c r="L23" s="446">
        <f>VLOOKUP(A23,체크카드!$A$5:$D$44,2,FALSE)</f>
        <v>189351</v>
      </c>
      <c r="M23" s="446">
        <f>VLOOKUP(A23,체크카드!$A$5:$D$44,3,FALSE)</f>
        <v>97037.941000000006</v>
      </c>
      <c r="N23" s="444">
        <f t="shared" si="6"/>
        <v>51.247651715596966</v>
      </c>
      <c r="O23" s="444">
        <f t="shared" si="7"/>
        <v>5.1098611153740015</v>
      </c>
      <c r="P23" s="475">
        <f t="shared" si="8"/>
        <v>10.329163427124699</v>
      </c>
      <c r="Q23" s="472">
        <f t="shared" si="9"/>
        <v>15.4390245424987</v>
      </c>
      <c r="R23" s="446">
        <f>VLOOKUP(A23,스마트금융!$A$5:$D$45,2,FALSE)</f>
        <v>6985</v>
      </c>
      <c r="S23" s="446">
        <f>VLOOKUP(A23,스마트금융!$A$5:$D$45,3,FALSE)</f>
        <v>6859</v>
      </c>
      <c r="T23" s="444">
        <f t="shared" si="10"/>
        <v>98.196134574087338</v>
      </c>
      <c r="U23" s="444">
        <f t="shared" si="11"/>
        <v>4.0781259290088592</v>
      </c>
      <c r="V23" s="475">
        <f t="shared" si="12"/>
        <v>9.6482624801938872</v>
      </c>
      <c r="W23" s="478">
        <f t="shared" si="13"/>
        <v>13.726388409202746</v>
      </c>
      <c r="X23" s="444">
        <f t="shared" si="14"/>
        <v>62.584565539381757</v>
      </c>
      <c r="Y23" s="461">
        <f t="shared" si="15"/>
        <v>19</v>
      </c>
      <c r="Z23" s="450">
        <v>9200</v>
      </c>
      <c r="AA23" s="515">
        <v>5500</v>
      </c>
    </row>
    <row r="24" spans="1:27">
      <c r="A24" s="132" t="s">
        <v>29</v>
      </c>
      <c r="B24" s="440">
        <f>VLOOKUP(A24,총수신고!$C$6:$I$45,2,FALSE)</f>
        <v>255500</v>
      </c>
      <c r="C24" s="440">
        <f>VLOOKUP(A24,총수신고!$C$6:$I$45,4,FALSE)</f>
        <v>241537.95784700001</v>
      </c>
      <c r="D24" s="444">
        <f t="shared" si="0"/>
        <v>94.535404245401182</v>
      </c>
      <c r="E24" s="472">
        <f t="shared" si="1"/>
        <v>7.9534733728873519</v>
      </c>
      <c r="F24" s="446">
        <f>VLOOKUP(A24,총수신고!$M$6:$U$45,2,FALSE)</f>
        <v>68038</v>
      </c>
      <c r="G24" s="446">
        <f>VLOOKUP(A24,총수신고!$M$6:$U$45,4,FALSE)</f>
        <v>56736.576221000003</v>
      </c>
      <c r="H24" s="444">
        <f t="shared" si="2"/>
        <v>83.389541463593872</v>
      </c>
      <c r="I24" s="444">
        <f t="shared" si="3"/>
        <v>8.8695006447059832</v>
      </c>
      <c r="J24" s="475">
        <f t="shared" si="4"/>
        <v>14.885590505251496</v>
      </c>
      <c r="K24" s="472">
        <f t="shared" si="5"/>
        <v>23.75509114995748</v>
      </c>
      <c r="L24" s="446">
        <f>VLOOKUP(A24,체크카드!$A$5:$D$44,2,FALSE)</f>
        <v>238942</v>
      </c>
      <c r="M24" s="446">
        <f>VLOOKUP(A24,체크카드!$A$5:$D$44,3,FALSE)</f>
        <v>124139.98299999999</v>
      </c>
      <c r="N24" s="444">
        <f t="shared" si="6"/>
        <v>51.954023570573604</v>
      </c>
      <c r="O24" s="444">
        <f t="shared" si="7"/>
        <v>6.5370108378009544</v>
      </c>
      <c r="P24" s="475">
        <f t="shared" si="8"/>
        <v>10.471535420496531</v>
      </c>
      <c r="Q24" s="472">
        <f t="shared" si="9"/>
        <v>17.008546258297486</v>
      </c>
      <c r="R24" s="446">
        <f>VLOOKUP(A24,스마트금융!$A$5:$D$45,2,FALSE)</f>
        <v>7626</v>
      </c>
      <c r="S24" s="446">
        <f>VLOOKUP(A24,스마트금융!$A$5:$D$45,3,FALSE)</f>
        <v>7349</v>
      </c>
      <c r="T24" s="444">
        <f t="shared" si="10"/>
        <v>96.367689483346439</v>
      </c>
      <c r="U24" s="444">
        <f t="shared" si="11"/>
        <v>4.3694631072001906</v>
      </c>
      <c r="V24" s="475">
        <f t="shared" si="12"/>
        <v>9.4686085840134826</v>
      </c>
      <c r="W24" s="478">
        <f t="shared" si="13"/>
        <v>13.838071691213674</v>
      </c>
      <c r="X24" s="444">
        <f t="shared" si="14"/>
        <v>62.555182472355995</v>
      </c>
      <c r="Y24" s="461">
        <f t="shared" si="15"/>
        <v>20</v>
      </c>
      <c r="Z24" s="450">
        <v>9200</v>
      </c>
      <c r="AA24" s="515">
        <v>5500</v>
      </c>
    </row>
    <row r="25" spans="1:27">
      <c r="A25" s="132" t="s">
        <v>53</v>
      </c>
      <c r="B25" s="440">
        <f>VLOOKUP(A25,총수신고!$C$6:$I$45,2,FALSE)</f>
        <v>146079</v>
      </c>
      <c r="C25" s="440">
        <f>VLOOKUP(A25,총수신고!$C$6:$I$45,4,FALSE)</f>
        <v>173211.80350000001</v>
      </c>
      <c r="D25" s="444">
        <f t="shared" si="0"/>
        <v>118.57406163788089</v>
      </c>
      <c r="E25" s="472">
        <f t="shared" si="1"/>
        <v>9.9758989711821808</v>
      </c>
      <c r="F25" s="446">
        <f>VLOOKUP(A25,총수신고!$M$6:$U$45,2,FALSE)</f>
        <v>37777</v>
      </c>
      <c r="G25" s="446">
        <f>VLOOKUP(A25,총수신고!$M$6:$U$45,4,FALSE)</f>
        <v>37174.971739000001</v>
      </c>
      <c r="H25" s="444">
        <f t="shared" si="2"/>
        <v>98.406362969531727</v>
      </c>
      <c r="I25" s="444">
        <f t="shared" si="3"/>
        <v>5.8114792567258595</v>
      </c>
      <c r="J25" s="475">
        <f t="shared" si="4"/>
        <v>17.566193512589479</v>
      </c>
      <c r="K25" s="472">
        <f t="shared" si="5"/>
        <v>23.377672769315339</v>
      </c>
      <c r="L25" s="446">
        <f>VLOOKUP(A25,체크카드!$A$5:$D$44,2,FALSE)</f>
        <v>183175</v>
      </c>
      <c r="M25" s="446">
        <f>VLOOKUP(A25,체크카드!$A$5:$D$44,3,FALSE)</f>
        <v>94438.85</v>
      </c>
      <c r="N25" s="444">
        <f t="shared" si="6"/>
        <v>51.556626177152999</v>
      </c>
      <c r="O25" s="444">
        <f t="shared" si="7"/>
        <v>4.9729971846335657</v>
      </c>
      <c r="P25" s="475">
        <f t="shared" si="8"/>
        <v>10.391438430981095</v>
      </c>
      <c r="Q25" s="472">
        <f t="shared" si="9"/>
        <v>15.36443561561466</v>
      </c>
      <c r="R25" s="446">
        <f>VLOOKUP(A25,스마트금융!$A$5:$D$45,2,FALSE)</f>
        <v>5494</v>
      </c>
      <c r="S25" s="446">
        <f>VLOOKUP(A25,스마트금융!$A$5:$D$45,3,FALSE)</f>
        <v>5543</v>
      </c>
      <c r="T25" s="444">
        <f t="shared" si="10"/>
        <v>100.89188205314889</v>
      </c>
      <c r="U25" s="444">
        <f t="shared" si="11"/>
        <v>3.2956775075807121</v>
      </c>
      <c r="V25" s="475">
        <f t="shared" si="12"/>
        <v>9.9131331838230938</v>
      </c>
      <c r="W25" s="478">
        <f t="shared" si="13"/>
        <v>13.208810691403805</v>
      </c>
      <c r="X25" s="444">
        <f t="shared" si="14"/>
        <v>61.926818047515987</v>
      </c>
      <c r="Y25" s="461">
        <f t="shared" si="15"/>
        <v>21</v>
      </c>
      <c r="Z25" s="450">
        <v>8600</v>
      </c>
      <c r="AA25" s="515">
        <v>5000</v>
      </c>
    </row>
    <row r="26" spans="1:27">
      <c r="A26" s="132" t="s">
        <v>47</v>
      </c>
      <c r="B26" s="440">
        <f>VLOOKUP(A26,총수신고!$C$6:$I$45,2,FALSE)</f>
        <v>288449</v>
      </c>
      <c r="C26" s="440">
        <f>VLOOKUP(A26,총수신고!$C$6:$I$45,4,FALSE)</f>
        <v>304217.31595399999</v>
      </c>
      <c r="D26" s="444">
        <f t="shared" si="0"/>
        <v>105.46658714504122</v>
      </c>
      <c r="E26" s="472">
        <f t="shared" si="1"/>
        <v>8.8731380511148004</v>
      </c>
      <c r="F26" s="446">
        <f>VLOOKUP(A26,총수신고!$M$6:$U$45,2,FALSE)</f>
        <v>35050</v>
      </c>
      <c r="G26" s="446">
        <f>VLOOKUP(A26,총수신고!$M$6:$U$45,4,FALSE)</f>
        <v>38254.644263000002</v>
      </c>
      <c r="H26" s="444">
        <f t="shared" si="2"/>
        <v>109.14306494436521</v>
      </c>
      <c r="I26" s="444">
        <f t="shared" si="3"/>
        <v>5.980262020606224</v>
      </c>
      <c r="J26" s="475">
        <f t="shared" si="4"/>
        <v>19.482766576419923</v>
      </c>
      <c r="K26" s="472">
        <f t="shared" si="5"/>
        <v>25.463028597026145</v>
      </c>
      <c r="L26" s="446">
        <f>VLOOKUP(A26,체크카드!$A$5:$D$44,2,FALSE)</f>
        <v>137370</v>
      </c>
      <c r="M26" s="446">
        <f>VLOOKUP(A26,체크카드!$A$5:$D$44,3,FALSE)</f>
        <v>68225.402000000002</v>
      </c>
      <c r="N26" s="444">
        <f t="shared" si="6"/>
        <v>49.665430588920437</v>
      </c>
      <c r="O26" s="444">
        <f t="shared" si="7"/>
        <v>3.5926393858723742</v>
      </c>
      <c r="P26" s="475">
        <f t="shared" si="8"/>
        <v>10.010260608201635</v>
      </c>
      <c r="Q26" s="472">
        <f t="shared" si="9"/>
        <v>13.60289999407401</v>
      </c>
      <c r="R26" s="446">
        <f>VLOOKUP(A26,스마트금융!$A$5:$D$45,2,FALSE)</f>
        <v>7267</v>
      </c>
      <c r="S26" s="446">
        <f>VLOOKUP(A26,스마트금융!$A$5:$D$45,3,FALSE)</f>
        <v>7164</v>
      </c>
      <c r="T26" s="444">
        <f t="shared" si="10"/>
        <v>98.582633824136508</v>
      </c>
      <c r="U26" s="444">
        <f t="shared" si="11"/>
        <v>4.2594684582912183</v>
      </c>
      <c r="V26" s="475">
        <f t="shared" si="12"/>
        <v>9.68623796903616</v>
      </c>
      <c r="W26" s="478">
        <f t="shared" si="13"/>
        <v>13.945706427327378</v>
      </c>
      <c r="X26" s="444">
        <f t="shared" si="14"/>
        <v>61.884773069542334</v>
      </c>
      <c r="Y26" s="461">
        <f t="shared" si="15"/>
        <v>22</v>
      </c>
      <c r="Z26" s="450">
        <v>8600</v>
      </c>
      <c r="AA26" s="515">
        <v>5000</v>
      </c>
    </row>
    <row r="27" spans="1:27">
      <c r="A27" s="132" t="s">
        <v>37</v>
      </c>
      <c r="B27" s="440">
        <f>VLOOKUP(A27,총수신고!$C$6:$I$45,2,FALSE)</f>
        <v>247075</v>
      </c>
      <c r="C27" s="440">
        <f>VLOOKUP(A27,총수신고!$C$6:$I$45,4,FALSE)</f>
        <v>268272.19089299999</v>
      </c>
      <c r="D27" s="444">
        <f t="shared" si="0"/>
        <v>108.57925362460792</v>
      </c>
      <c r="E27" s="472">
        <f t="shared" si="1"/>
        <v>9.1350135903534984</v>
      </c>
      <c r="F27" s="446">
        <f>VLOOKUP(A27,총수신고!$M$6:$U$45,2,FALSE)</f>
        <v>43423</v>
      </c>
      <c r="G27" s="446">
        <f>VLOOKUP(A27,총수신고!$M$6:$U$45,4,FALSE)</f>
        <v>43087.853062000002</v>
      </c>
      <c r="H27" s="444">
        <f t="shared" si="2"/>
        <v>99.22818106072819</v>
      </c>
      <c r="I27" s="444">
        <f t="shared" si="3"/>
        <v>6.7358266213278002</v>
      </c>
      <c r="J27" s="475">
        <f t="shared" si="4"/>
        <v>17.712893534686359</v>
      </c>
      <c r="K27" s="472">
        <f t="shared" si="5"/>
        <v>24.448720156014158</v>
      </c>
      <c r="L27" s="446">
        <f>VLOOKUP(A27,체크카드!$A$5:$D$44,2,FALSE)</f>
        <v>147071</v>
      </c>
      <c r="M27" s="446">
        <f>VLOOKUP(A27,체크카드!$A$5:$D$44,3,FALSE)</f>
        <v>73619.759000000005</v>
      </c>
      <c r="N27" s="444">
        <f t="shared" si="6"/>
        <v>50.057291376274051</v>
      </c>
      <c r="O27" s="444">
        <f t="shared" si="7"/>
        <v>3.8766975057447399</v>
      </c>
      <c r="P27" s="475">
        <f t="shared" si="8"/>
        <v>10.089241673240862</v>
      </c>
      <c r="Q27" s="472">
        <f t="shared" si="9"/>
        <v>13.965939178985602</v>
      </c>
      <c r="R27" s="446">
        <f>VLOOKUP(A27,스마트금융!$A$5:$D$45,2,FALSE)</f>
        <v>6589</v>
      </c>
      <c r="S27" s="446">
        <f>VLOOKUP(A27,스마트금융!$A$5:$D$45,3,FALSE)</f>
        <v>6402</v>
      </c>
      <c r="T27" s="444">
        <f t="shared" si="10"/>
        <v>97.16193656093489</v>
      </c>
      <c r="U27" s="444">
        <f t="shared" si="11"/>
        <v>3.8064094179202095</v>
      </c>
      <c r="V27" s="475">
        <f t="shared" si="12"/>
        <v>9.546647340955781</v>
      </c>
      <c r="W27" s="478">
        <f t="shared" si="13"/>
        <v>13.35305675887599</v>
      </c>
      <c r="X27" s="444">
        <f t="shared" si="14"/>
        <v>60.902729684229243</v>
      </c>
      <c r="Y27" s="461">
        <f t="shared" si="15"/>
        <v>23</v>
      </c>
      <c r="Z27" s="450">
        <v>8600</v>
      </c>
      <c r="AA27" s="515">
        <v>5000</v>
      </c>
    </row>
    <row r="28" spans="1:27">
      <c r="A28" s="132" t="s">
        <v>30</v>
      </c>
      <c r="B28" s="440">
        <f>VLOOKUP(A28,총수신고!$C$6:$I$45,2,FALSE)</f>
        <v>161565</v>
      </c>
      <c r="C28" s="440">
        <f>VLOOKUP(A28,총수신고!$C$6:$I$45,4,FALSE)</f>
        <v>173115.560451</v>
      </c>
      <c r="D28" s="444">
        <f t="shared" si="0"/>
        <v>107.14917243895646</v>
      </c>
      <c r="E28" s="472">
        <f t="shared" si="1"/>
        <v>9.0146976862545376</v>
      </c>
      <c r="F28" s="446">
        <f>VLOOKUP(A28,총수신고!$M$6:$U$45,2,FALSE)</f>
        <v>37301</v>
      </c>
      <c r="G28" s="446">
        <f>VLOOKUP(A28,총수신고!$M$6:$U$45,4,FALSE)</f>
        <v>38179.761086999999</v>
      </c>
      <c r="H28" s="444">
        <f t="shared" si="2"/>
        <v>102.35586468727379</v>
      </c>
      <c r="I28" s="444">
        <f t="shared" si="3"/>
        <v>5.9685557030585707</v>
      </c>
      <c r="J28" s="475">
        <f t="shared" si="4"/>
        <v>18.271205966648388</v>
      </c>
      <c r="K28" s="472">
        <f t="shared" si="5"/>
        <v>24.239761669706958</v>
      </c>
      <c r="L28" s="446">
        <f>VLOOKUP(A28,체크카드!$A$5:$D$44,2,FALSE)</f>
        <v>166288</v>
      </c>
      <c r="M28" s="446">
        <f>VLOOKUP(A28,체크카드!$A$5:$D$44,3,FALSE)</f>
        <v>82829.684999999998</v>
      </c>
      <c r="N28" s="444">
        <f t="shared" si="6"/>
        <v>49.810981550081785</v>
      </c>
      <c r="O28" s="444">
        <f t="shared" si="7"/>
        <v>4.3616773214528246</v>
      </c>
      <c r="P28" s="475">
        <f t="shared" si="8"/>
        <v>10.039596970249089</v>
      </c>
      <c r="Q28" s="472">
        <f t="shared" si="9"/>
        <v>14.401274291701913</v>
      </c>
      <c r="R28" s="446">
        <f>VLOOKUP(A28,스마트금융!$A$5:$D$45,2,FALSE)</f>
        <v>6068</v>
      </c>
      <c r="S28" s="446">
        <f>VLOOKUP(A28,스마트금융!$A$5:$D$45,3,FALSE)</f>
        <v>5864</v>
      </c>
      <c r="T28" s="444">
        <f t="shared" si="10"/>
        <v>96.6381015161503</v>
      </c>
      <c r="U28" s="444">
        <f t="shared" si="11"/>
        <v>3.4865330875795233</v>
      </c>
      <c r="V28" s="475">
        <f t="shared" si="12"/>
        <v>9.4951779218149213</v>
      </c>
      <c r="W28" s="478">
        <f t="shared" si="13"/>
        <v>12.981711009394445</v>
      </c>
      <c r="X28" s="444">
        <f t="shared" si="14"/>
        <v>60.637444657057856</v>
      </c>
      <c r="Y28" s="461">
        <f t="shared" si="15"/>
        <v>24</v>
      </c>
      <c r="Z28" s="450">
        <v>8600</v>
      </c>
      <c r="AA28" s="515">
        <v>5000</v>
      </c>
    </row>
    <row r="29" spans="1:27">
      <c r="A29" s="132" t="s">
        <v>91</v>
      </c>
      <c r="B29" s="440">
        <f>VLOOKUP(A29,총수신고!$C$6:$I$45,2,FALSE)</f>
        <v>140465</v>
      </c>
      <c r="C29" s="440">
        <f>VLOOKUP(A29,총수신고!$C$6:$I$45,4,FALSE)</f>
        <v>152820.093441</v>
      </c>
      <c r="D29" s="444">
        <f t="shared" si="0"/>
        <v>108.79585194959598</v>
      </c>
      <c r="E29" s="472">
        <f t="shared" si="1"/>
        <v>9.1532364881572938</v>
      </c>
      <c r="F29" s="446">
        <f>VLOOKUP(A29,총수신고!$M$6:$U$45,2,FALSE)</f>
        <v>37380</v>
      </c>
      <c r="G29" s="446">
        <f>VLOOKUP(A29,총수신고!$M$6:$U$45,4,FALSE)</f>
        <v>35712.409793999999</v>
      </c>
      <c r="H29" s="444">
        <f t="shared" si="2"/>
        <v>95.538816998394864</v>
      </c>
      <c r="I29" s="444">
        <f t="shared" si="3"/>
        <v>5.5828402556065333</v>
      </c>
      <c r="J29" s="475">
        <f t="shared" si="4"/>
        <v>17.054317390810315</v>
      </c>
      <c r="K29" s="472">
        <f t="shared" si="5"/>
        <v>22.637157646416849</v>
      </c>
      <c r="L29" s="446">
        <f>VLOOKUP(A29,체크카드!$A$5:$D$44,2,FALSE)</f>
        <v>193481</v>
      </c>
      <c r="M29" s="446">
        <f>VLOOKUP(A29,체크카드!$A$5:$D$44,3,FALSE)</f>
        <v>95123.115999999995</v>
      </c>
      <c r="N29" s="444">
        <f t="shared" si="6"/>
        <v>49.164060553749458</v>
      </c>
      <c r="O29" s="444">
        <f t="shared" si="7"/>
        <v>5.0090295261068096</v>
      </c>
      <c r="P29" s="475">
        <f t="shared" si="8"/>
        <v>9.909207528550608</v>
      </c>
      <c r="Q29" s="472">
        <f t="shared" si="9"/>
        <v>14.918237054657418</v>
      </c>
      <c r="R29" s="446">
        <f>VLOOKUP(A29,스마트금융!$A$5:$D$45,2,FALSE)</f>
        <v>6419</v>
      </c>
      <c r="S29" s="446">
        <f>VLOOKUP(A29,스마트금융!$A$5:$D$45,3,FALSE)</f>
        <v>6533</v>
      </c>
      <c r="T29" s="444">
        <f t="shared" si="10"/>
        <v>101.77597756659915</v>
      </c>
      <c r="U29" s="444">
        <f t="shared" si="11"/>
        <v>3.884297520661157</v>
      </c>
      <c r="V29" s="475">
        <f t="shared" si="12"/>
        <v>10</v>
      </c>
      <c r="W29" s="478">
        <f t="shared" si="13"/>
        <v>13.884297520661157</v>
      </c>
      <c r="X29" s="444">
        <f t="shared" si="14"/>
        <v>60.592928709892718</v>
      </c>
      <c r="Y29" s="461">
        <f t="shared" si="15"/>
        <v>25</v>
      </c>
      <c r="Z29" s="450">
        <v>8600</v>
      </c>
      <c r="AA29" s="515">
        <v>5000</v>
      </c>
    </row>
    <row r="30" spans="1:27">
      <c r="A30" s="132" t="s">
        <v>96</v>
      </c>
      <c r="B30" s="440">
        <f>VLOOKUP(A30,총수신고!$C$6:$I$45,2,FALSE)</f>
        <v>110239</v>
      </c>
      <c r="C30" s="440">
        <f>VLOOKUP(A30,총수신고!$C$6:$I$45,4,FALSE)</f>
        <v>115107.26268299999</v>
      </c>
      <c r="D30" s="444">
        <f t="shared" si="0"/>
        <v>104.41609837081249</v>
      </c>
      <c r="E30" s="472">
        <f t="shared" si="1"/>
        <v>8.7847580990636427</v>
      </c>
      <c r="F30" s="446">
        <f>VLOOKUP(A30,총수신고!$M$6:$U$45,2,FALSE)</f>
        <v>35182</v>
      </c>
      <c r="G30" s="446">
        <f>VLOOKUP(A30,총수신고!$M$6:$U$45,4,FALSE)</f>
        <v>35981.229828000003</v>
      </c>
      <c r="H30" s="444">
        <f t="shared" si="2"/>
        <v>102.2717009493491</v>
      </c>
      <c r="I30" s="444">
        <f t="shared" si="3"/>
        <v>5.6248642835560805</v>
      </c>
      <c r="J30" s="475">
        <f t="shared" si="4"/>
        <v>18.256182176900303</v>
      </c>
      <c r="K30" s="472">
        <f t="shared" si="5"/>
        <v>23.881046460456382</v>
      </c>
      <c r="L30" s="446">
        <f>VLOOKUP(A30,체크카드!$A$5:$D$44,2,FALSE)</f>
        <v>161446</v>
      </c>
      <c r="M30" s="446">
        <f>VLOOKUP(A30,체크카드!$A$5:$D$44,3,FALSE)</f>
        <v>80639.233999999997</v>
      </c>
      <c r="N30" s="444">
        <f t="shared" si="6"/>
        <v>49.948115159248289</v>
      </c>
      <c r="O30" s="444">
        <f t="shared" si="7"/>
        <v>4.2463317125632862</v>
      </c>
      <c r="P30" s="475">
        <f t="shared" si="8"/>
        <v>10.067236782279759</v>
      </c>
      <c r="Q30" s="472">
        <f t="shared" si="9"/>
        <v>14.313568494843045</v>
      </c>
      <c r="R30" s="446">
        <f>VLOOKUP(A30,스마트금융!$A$5:$D$45,2,FALSE)</f>
        <v>4406</v>
      </c>
      <c r="S30" s="446">
        <f>VLOOKUP(A30,스마트금융!$A$5:$D$45,3,FALSE)</f>
        <v>4348</v>
      </c>
      <c r="T30" s="444">
        <f t="shared" si="10"/>
        <v>98.683613254652741</v>
      </c>
      <c r="U30" s="444">
        <f t="shared" si="11"/>
        <v>2.5851715321957309</v>
      </c>
      <c r="V30" s="475">
        <f t="shared" si="12"/>
        <v>9.6961597042953613</v>
      </c>
      <c r="W30" s="478">
        <f t="shared" si="13"/>
        <v>12.281331236491091</v>
      </c>
      <c r="X30" s="444">
        <f t="shared" si="14"/>
        <v>59.260704290854164</v>
      </c>
      <c r="Y30" s="461">
        <f t="shared" si="15"/>
        <v>26</v>
      </c>
      <c r="Z30" s="450">
        <v>8000</v>
      </c>
      <c r="AA30" s="515">
        <v>4500</v>
      </c>
    </row>
    <row r="31" spans="1:27">
      <c r="A31" s="132" t="s">
        <v>97</v>
      </c>
      <c r="B31" s="440">
        <f>VLOOKUP(A31,총수신고!$C$6:$I$45,2,FALSE)</f>
        <v>111388</v>
      </c>
      <c r="C31" s="440">
        <f>VLOOKUP(A31,총수신고!$C$6:$I$45,4,FALSE)</f>
        <v>121517.554422</v>
      </c>
      <c r="D31" s="444">
        <f t="shared" si="0"/>
        <v>109.09393688907242</v>
      </c>
      <c r="E31" s="472">
        <f t="shared" si="1"/>
        <v>9.1783150356909804</v>
      </c>
      <c r="F31" s="446">
        <f>VLOOKUP(A31,총수신고!$M$6:$U$45,2,FALSE)</f>
        <v>30447</v>
      </c>
      <c r="G31" s="446">
        <f>VLOOKUP(A31,총수신고!$M$6:$U$45,4,FALSE)</f>
        <v>31292.439032999999</v>
      </c>
      <c r="H31" s="444">
        <f t="shared" si="2"/>
        <v>102.77675643905803</v>
      </c>
      <c r="I31" s="444">
        <f t="shared" si="3"/>
        <v>4.8918762227828383</v>
      </c>
      <c r="J31" s="475">
        <f t="shared" si="4"/>
        <v>18.346337957472844</v>
      </c>
      <c r="K31" s="472">
        <f t="shared" si="5"/>
        <v>23.238214180255682</v>
      </c>
      <c r="L31" s="446">
        <f>VLOOKUP(A31,체크카드!$A$5:$D$44,2,FALSE)</f>
        <v>128698</v>
      </c>
      <c r="M31" s="446">
        <f>VLOOKUP(A31,체크카드!$A$5:$D$44,3,FALSE)</f>
        <v>67315.865999999995</v>
      </c>
      <c r="N31" s="444">
        <f t="shared" si="6"/>
        <v>52.305293011546404</v>
      </c>
      <c r="O31" s="444">
        <f t="shared" si="7"/>
        <v>3.5447446903384607</v>
      </c>
      <c r="P31" s="475">
        <f t="shared" si="8"/>
        <v>10.542335141874954</v>
      </c>
      <c r="Q31" s="472">
        <f t="shared" si="9"/>
        <v>14.087079832213416</v>
      </c>
      <c r="R31" s="446">
        <f>VLOOKUP(A31,스마트금융!$A$5:$D$45,2,FALSE)</f>
        <v>4102</v>
      </c>
      <c r="S31" s="446">
        <f>VLOOKUP(A31,스마트금융!$A$5:$D$45,3,FALSE)</f>
        <v>3980</v>
      </c>
      <c r="T31" s="444">
        <f t="shared" si="10"/>
        <v>97.025841053144816</v>
      </c>
      <c r="U31" s="444">
        <f t="shared" si="11"/>
        <v>2.3663713657173435</v>
      </c>
      <c r="V31" s="475">
        <f t="shared" si="12"/>
        <v>9.5332752750671457</v>
      </c>
      <c r="W31" s="478">
        <f t="shared" si="13"/>
        <v>11.899646640784489</v>
      </c>
      <c r="X31" s="444">
        <f t="shared" si="14"/>
        <v>58.403255688944562</v>
      </c>
      <c r="Y31" s="461">
        <f t="shared" si="15"/>
        <v>27</v>
      </c>
      <c r="Z31" s="450">
        <v>8000</v>
      </c>
      <c r="AA31" s="515">
        <v>4500</v>
      </c>
    </row>
    <row r="32" spans="1:27">
      <c r="A32" s="132" t="s">
        <v>89</v>
      </c>
      <c r="B32" s="440">
        <f>VLOOKUP(A32,총수신고!$C$6:$I$45,2,FALSE)</f>
        <v>114428</v>
      </c>
      <c r="C32" s="440">
        <f>VLOOKUP(A32,총수신고!$C$6:$I$45,4,FALSE)</f>
        <v>134420.75654199999</v>
      </c>
      <c r="D32" s="444">
        <f t="shared" si="0"/>
        <v>117.47190944698849</v>
      </c>
      <c r="E32" s="472">
        <f t="shared" si="1"/>
        <v>9.8831724612243157</v>
      </c>
      <c r="F32" s="446">
        <f>VLOOKUP(A32,총수신고!$M$6:$U$45,2,FALSE)</f>
        <v>32723</v>
      </c>
      <c r="G32" s="446">
        <f>VLOOKUP(A32,총수신고!$M$6:$U$45,4,FALSE)</f>
        <v>33797.532978000003</v>
      </c>
      <c r="H32" s="444">
        <f t="shared" si="2"/>
        <v>103.2837239189561</v>
      </c>
      <c r="I32" s="444">
        <f t="shared" si="3"/>
        <v>5.2834918936629345</v>
      </c>
      <c r="J32" s="475">
        <f t="shared" si="4"/>
        <v>18.436835041073387</v>
      </c>
      <c r="K32" s="472">
        <f t="shared" si="5"/>
        <v>23.72032693473632</v>
      </c>
      <c r="L32" s="446">
        <f>VLOOKUP(A32,체크카드!$A$5:$D$44,2,FALSE)</f>
        <v>116544</v>
      </c>
      <c r="M32" s="446">
        <f>VLOOKUP(A32,체크카드!$A$5:$D$44,3,FALSE)</f>
        <v>58357.309000000001</v>
      </c>
      <c r="N32" s="444">
        <f t="shared" si="6"/>
        <v>50.073198963481602</v>
      </c>
      <c r="O32" s="444">
        <f t="shared" si="7"/>
        <v>3.0730015598431266</v>
      </c>
      <c r="P32" s="475">
        <f t="shared" si="8"/>
        <v>10.092447909282855</v>
      </c>
      <c r="Q32" s="472">
        <f t="shared" si="9"/>
        <v>13.165449469125981</v>
      </c>
      <c r="R32" s="446">
        <f>VLOOKUP(A32,스마트금융!$A$5:$D$45,2,FALSE)</f>
        <v>3319</v>
      </c>
      <c r="S32" s="446">
        <f>VLOOKUP(A32,스마트금융!$A$5:$D$45,3,FALSE)</f>
        <v>3226</v>
      </c>
      <c r="T32" s="444">
        <f t="shared" si="10"/>
        <v>97.197951190117507</v>
      </c>
      <c r="U32" s="444">
        <f t="shared" si="11"/>
        <v>1.9180688507045602</v>
      </c>
      <c r="V32" s="475">
        <f t="shared" si="12"/>
        <v>9.5501859588146996</v>
      </c>
      <c r="W32" s="478">
        <f t="shared" si="13"/>
        <v>11.46825480951926</v>
      </c>
      <c r="X32" s="444">
        <f t="shared" si="14"/>
        <v>58.23720367460588</v>
      </c>
      <c r="Y32" s="461">
        <f t="shared" si="15"/>
        <v>28</v>
      </c>
      <c r="Z32" s="450">
        <v>8000</v>
      </c>
      <c r="AA32" s="515">
        <v>4500</v>
      </c>
    </row>
    <row r="33" spans="1:27">
      <c r="A33" s="132" t="s">
        <v>95</v>
      </c>
      <c r="B33" s="440">
        <f>VLOOKUP(A33,총수신고!$C$6:$I$45,2,FALSE)</f>
        <v>111060</v>
      </c>
      <c r="C33" s="440">
        <f>VLOOKUP(A33,총수신고!$C$6:$I$45,4,FALSE)</f>
        <v>120311.57211199999</v>
      </c>
      <c r="D33" s="444">
        <f t="shared" si="0"/>
        <v>108.33024681433459</v>
      </c>
      <c r="E33" s="472">
        <f t="shared" si="1"/>
        <v>9.1140640947546263</v>
      </c>
      <c r="F33" s="446">
        <f>VLOOKUP(A33,총수신고!$M$6:$U$45,2,FALSE)</f>
        <v>36775</v>
      </c>
      <c r="G33" s="446">
        <f>VLOOKUP(A33,총수신고!$M$6:$U$45,4,FALSE)</f>
        <v>35527.276075000002</v>
      </c>
      <c r="H33" s="444">
        <f t="shared" si="2"/>
        <v>96.607140924541142</v>
      </c>
      <c r="I33" s="444">
        <f t="shared" si="3"/>
        <v>5.5538987200152556</v>
      </c>
      <c r="J33" s="475">
        <f t="shared" si="4"/>
        <v>17.245020352026604</v>
      </c>
      <c r="K33" s="472">
        <f t="shared" si="5"/>
        <v>22.798919072041858</v>
      </c>
      <c r="L33" s="446">
        <f>VLOOKUP(A33,체크카드!$A$5:$D$44,2,FALSE)</f>
        <v>129433</v>
      </c>
      <c r="M33" s="446">
        <f>VLOOKUP(A33,체크카드!$A$5:$D$44,3,FALSE)</f>
        <v>65067.981</v>
      </c>
      <c r="N33" s="444">
        <f t="shared" si="6"/>
        <v>50.271554394937922</v>
      </c>
      <c r="O33" s="444">
        <f t="shared" si="7"/>
        <v>3.4263746998485298</v>
      </c>
      <c r="P33" s="475">
        <f t="shared" si="8"/>
        <v>10.132427217594199</v>
      </c>
      <c r="Q33" s="472">
        <f t="shared" si="9"/>
        <v>13.558801917442729</v>
      </c>
      <c r="R33" s="446">
        <f>VLOOKUP(A33,스마트금융!$A$5:$D$45,2,FALSE)</f>
        <v>4429</v>
      </c>
      <c r="S33" s="446">
        <f>VLOOKUP(A33,스마트금융!$A$5:$D$45,3,FALSE)</f>
        <v>4476</v>
      </c>
      <c r="T33" s="444">
        <f t="shared" si="10"/>
        <v>101.06118762700385</v>
      </c>
      <c r="U33" s="444">
        <f t="shared" si="11"/>
        <v>2.6612759379273441</v>
      </c>
      <c r="V33" s="475">
        <f t="shared" si="12"/>
        <v>9.929768305185025</v>
      </c>
      <c r="W33" s="478">
        <f t="shared" si="13"/>
        <v>12.591044243112369</v>
      </c>
      <c r="X33" s="444">
        <f t="shared" si="14"/>
        <v>58.062829327351587</v>
      </c>
      <c r="Y33" s="461">
        <f t="shared" si="15"/>
        <v>29</v>
      </c>
      <c r="Z33" s="450">
        <v>8000</v>
      </c>
      <c r="AA33" s="515">
        <v>4500</v>
      </c>
    </row>
    <row r="34" spans="1:27">
      <c r="A34" s="132" t="s">
        <v>94</v>
      </c>
      <c r="B34" s="440">
        <f>VLOOKUP(A34,총수신고!$C$6:$I$45,2,FALSE)</f>
        <v>101621</v>
      </c>
      <c r="C34" s="440">
        <f>VLOOKUP(A34,총수신고!$C$6:$I$45,4,FALSE)</f>
        <v>104911.57534</v>
      </c>
      <c r="D34" s="444">
        <f t="shared" si="0"/>
        <v>103.2380859664833</v>
      </c>
      <c r="E34" s="472">
        <f t="shared" si="1"/>
        <v>8.6856493009836999</v>
      </c>
      <c r="F34" s="446">
        <f>VLOOKUP(A34,총수신고!$M$6:$U$45,2,FALSE)</f>
        <v>24369</v>
      </c>
      <c r="G34" s="446">
        <f>VLOOKUP(A34,총수신고!$M$6:$U$45,4,FALSE)</f>
        <v>24422.881001000002</v>
      </c>
      <c r="H34" s="444">
        <f t="shared" si="2"/>
        <v>100.22110468628176</v>
      </c>
      <c r="I34" s="444">
        <f t="shared" si="3"/>
        <v>3.8179737518911043</v>
      </c>
      <c r="J34" s="475">
        <f t="shared" si="4"/>
        <v>17.89013703829086</v>
      </c>
      <c r="K34" s="472">
        <f t="shared" si="5"/>
        <v>21.708110790181962</v>
      </c>
      <c r="L34" s="446">
        <f>VLOOKUP(A34,체크카드!$A$5:$D$44,2,FALSE)</f>
        <v>123179</v>
      </c>
      <c r="M34" s="446">
        <f>VLOOKUP(A34,체크카드!$A$5:$D$44,3,FALSE)</f>
        <v>64331.936999999998</v>
      </c>
      <c r="N34" s="444">
        <f t="shared" si="6"/>
        <v>52.226383555638542</v>
      </c>
      <c r="O34" s="444">
        <f t="shared" si="7"/>
        <v>3.3876158125922107</v>
      </c>
      <c r="P34" s="475">
        <f t="shared" si="8"/>
        <v>10.52643063427837</v>
      </c>
      <c r="Q34" s="472">
        <f t="shared" si="9"/>
        <v>13.91404644687058</v>
      </c>
      <c r="R34" s="446">
        <f>VLOOKUP(A34,스마트금융!$A$5:$D$45,2,FALSE)</f>
        <v>3779</v>
      </c>
      <c r="S34" s="446">
        <f>VLOOKUP(A34,스마트금융!$A$5:$D$45,3,FALSE)</f>
        <v>3806</v>
      </c>
      <c r="T34" s="444">
        <f t="shared" si="10"/>
        <v>100.71447472876423</v>
      </c>
      <c r="U34" s="444">
        <f t="shared" si="11"/>
        <v>2.2629169391759318</v>
      </c>
      <c r="V34" s="475">
        <f t="shared" si="12"/>
        <v>9.8957020248574565</v>
      </c>
      <c r="W34" s="478">
        <f t="shared" si="13"/>
        <v>12.158618964033389</v>
      </c>
      <c r="X34" s="444">
        <f t="shared" si="14"/>
        <v>56.466425502069626</v>
      </c>
      <c r="Y34" s="461">
        <f t="shared" si="15"/>
        <v>30</v>
      </c>
      <c r="Z34" s="450">
        <v>8000</v>
      </c>
      <c r="AA34" s="515">
        <v>4500</v>
      </c>
    </row>
    <row r="35" spans="1:27">
      <c r="A35" s="132" t="s">
        <v>101</v>
      </c>
      <c r="B35" s="440">
        <f>VLOOKUP(A35,총수신고!$C$6:$I$45,2,FALSE)</f>
        <v>120659</v>
      </c>
      <c r="C35" s="440">
        <f>VLOOKUP(A35,총수신고!$C$6:$I$45,4,FALSE)</f>
        <v>126542.61062399999</v>
      </c>
      <c r="D35" s="444">
        <f t="shared" si="0"/>
        <v>104.87623022236218</v>
      </c>
      <c r="E35" s="472">
        <f t="shared" si="1"/>
        <v>8.8234700129601329</v>
      </c>
      <c r="F35" s="446">
        <f>VLOOKUP(A35,총수신고!$M$6:$U$45,2,FALSE)</f>
        <v>26497</v>
      </c>
      <c r="G35" s="446">
        <f>VLOOKUP(A35,총수신고!$M$6:$U$45,4,FALSE)</f>
        <v>26469.439880000002</v>
      </c>
      <c r="H35" s="444">
        <f t="shared" si="2"/>
        <v>99.895987772200641</v>
      </c>
      <c r="I35" s="444">
        <f t="shared" si="3"/>
        <v>4.1379076729302211</v>
      </c>
      <c r="J35" s="475">
        <f t="shared" si="4"/>
        <v>17.832101496130509</v>
      </c>
      <c r="K35" s="472">
        <f t="shared" si="5"/>
        <v>21.970009169060731</v>
      </c>
      <c r="L35" s="446">
        <f>VLOOKUP(A35,체크카드!$A$5:$D$44,2,FALSE)</f>
        <v>101103</v>
      </c>
      <c r="M35" s="446">
        <f>VLOOKUP(A35,체크카드!$A$5:$D$44,3,FALSE)</f>
        <v>54237.673999999999</v>
      </c>
      <c r="N35" s="444">
        <f t="shared" si="6"/>
        <v>53.645959071441993</v>
      </c>
      <c r="O35" s="444">
        <f t="shared" si="7"/>
        <v>2.8560682399571058</v>
      </c>
      <c r="P35" s="475">
        <f t="shared" si="8"/>
        <v>10.812551598049597</v>
      </c>
      <c r="Q35" s="472">
        <f t="shared" si="9"/>
        <v>13.668619838006702</v>
      </c>
      <c r="R35" s="446">
        <f>VLOOKUP(A35,스마트금융!$A$5:$D$45,2,FALSE)</f>
        <v>3526</v>
      </c>
      <c r="S35" s="446">
        <f>VLOOKUP(A35,스마트금융!$A$5:$D$45,3,FALSE)</f>
        <v>3460</v>
      </c>
      <c r="T35" s="444">
        <f t="shared" si="10"/>
        <v>98.128190584231419</v>
      </c>
      <c r="U35" s="444">
        <f t="shared" si="11"/>
        <v>2.0571972174326656</v>
      </c>
      <c r="V35" s="475">
        <f t="shared" si="12"/>
        <v>9.641586642586585</v>
      </c>
      <c r="W35" s="478">
        <f t="shared" si="13"/>
        <v>11.698783860019251</v>
      </c>
      <c r="X35" s="444">
        <f t="shared" si="14"/>
        <v>56.160882880046813</v>
      </c>
      <c r="Y35" s="461">
        <f t="shared" si="15"/>
        <v>31</v>
      </c>
      <c r="Z35" s="450">
        <v>7000</v>
      </c>
      <c r="AA35" s="515">
        <v>4000</v>
      </c>
    </row>
    <row r="36" spans="1:27">
      <c r="A36" s="132" t="s">
        <v>98</v>
      </c>
      <c r="B36" s="440">
        <f>VLOOKUP(A36,총수신고!$C$6:$I$45,2,FALSE)</f>
        <v>138961</v>
      </c>
      <c r="C36" s="440">
        <f>VLOOKUP(A36,총수신고!$C$6:$I$45,4,FALSE)</f>
        <v>144198.661941</v>
      </c>
      <c r="D36" s="444">
        <f t="shared" si="0"/>
        <v>103.7691596498298</v>
      </c>
      <c r="E36" s="472">
        <f t="shared" si="1"/>
        <v>8.7303297086389424</v>
      </c>
      <c r="F36" s="446">
        <f>VLOOKUP(A36,총수신고!$M$6:$U$45,2,FALSE)</f>
        <v>26692</v>
      </c>
      <c r="G36" s="446">
        <f>VLOOKUP(A36,총수신고!$M$6:$U$45,4,FALSE)</f>
        <v>26679.172422</v>
      </c>
      <c r="H36" s="444">
        <f t="shared" si="2"/>
        <v>99.951942237374496</v>
      </c>
      <c r="I36" s="444">
        <f t="shared" si="3"/>
        <v>4.1706946868881811</v>
      </c>
      <c r="J36" s="475">
        <f t="shared" si="4"/>
        <v>17.842089742149131</v>
      </c>
      <c r="K36" s="472">
        <f t="shared" si="5"/>
        <v>22.01278442903731</v>
      </c>
      <c r="L36" s="446">
        <f>VLOOKUP(A36,체크카드!$A$5:$D$44,2,FALSE)</f>
        <v>99260</v>
      </c>
      <c r="M36" s="446">
        <f>VLOOKUP(A36,체크카드!$A$5:$D$44,3,FALSE)</f>
        <v>49983.45</v>
      </c>
      <c r="N36" s="444">
        <f t="shared" si="6"/>
        <v>50.356085029216203</v>
      </c>
      <c r="O36" s="444">
        <f t="shared" si="7"/>
        <v>2.6320476808884541</v>
      </c>
      <c r="P36" s="475">
        <f t="shared" si="8"/>
        <v>10.149464695543518</v>
      </c>
      <c r="Q36" s="472">
        <f t="shared" si="9"/>
        <v>12.781512376431973</v>
      </c>
      <c r="R36" s="446">
        <f>VLOOKUP(A36,스마트금융!$A$5:$D$45,2,FALSE)</f>
        <v>4481</v>
      </c>
      <c r="S36" s="446">
        <f>VLOOKUP(A36,스마트금융!$A$5:$D$45,3,FALSE)</f>
        <v>4460</v>
      </c>
      <c r="T36" s="444">
        <f t="shared" si="10"/>
        <v>99.531354608346362</v>
      </c>
      <c r="U36" s="444">
        <f t="shared" si="11"/>
        <v>2.6517628872108925</v>
      </c>
      <c r="V36" s="475">
        <f t="shared" si="12"/>
        <v>9.7794545420323793</v>
      </c>
      <c r="W36" s="478">
        <f t="shared" si="13"/>
        <v>12.431217429243272</v>
      </c>
      <c r="X36" s="444">
        <f t="shared" si="14"/>
        <v>55.955843943351496</v>
      </c>
      <c r="Y36" s="461">
        <f t="shared" si="15"/>
        <v>32</v>
      </c>
      <c r="Z36" s="450">
        <v>7000</v>
      </c>
      <c r="AA36" s="515">
        <v>4000</v>
      </c>
    </row>
    <row r="37" spans="1:27">
      <c r="A37" s="132" t="s">
        <v>106</v>
      </c>
      <c r="B37" s="440">
        <f>VLOOKUP(A37,총수신고!$C$6:$I$45,2,FALSE)</f>
        <v>102733</v>
      </c>
      <c r="C37" s="440">
        <f>VLOOKUP(A37,총수신고!$C$6:$I$45,4,FALSE)</f>
        <v>109709.76779699999</v>
      </c>
      <c r="D37" s="444">
        <f t="shared" si="0"/>
        <v>106.79116525069841</v>
      </c>
      <c r="E37" s="472">
        <f t="shared" si="1"/>
        <v>8.9845777469382462</v>
      </c>
      <c r="F37" s="446">
        <f>VLOOKUP(A37,총수신고!$M$6:$U$45,2,FALSE)</f>
        <v>21628</v>
      </c>
      <c r="G37" s="446">
        <f>VLOOKUP(A37,총수신고!$M$6:$U$45,4,FALSE)</f>
        <v>21252.886484999999</v>
      </c>
      <c r="H37" s="444">
        <f t="shared" si="2"/>
        <v>98.265611637691876</v>
      </c>
      <c r="I37" s="444">
        <f t="shared" si="3"/>
        <v>3.3224156784913608</v>
      </c>
      <c r="J37" s="475">
        <f t="shared" si="4"/>
        <v>17.541068459110782</v>
      </c>
      <c r="K37" s="472">
        <f t="shared" si="5"/>
        <v>20.863484137602143</v>
      </c>
      <c r="L37" s="446">
        <f>VLOOKUP(A37,체크카드!$A$5:$D$44,2,FALSE)</f>
        <v>103189</v>
      </c>
      <c r="M37" s="446">
        <f>VLOOKUP(A37,체크카드!$A$5:$D$44,3,FALSE)</f>
        <v>51777.803</v>
      </c>
      <c r="N37" s="444">
        <f t="shared" si="6"/>
        <v>50.17763812034228</v>
      </c>
      <c r="O37" s="444">
        <f t="shared" si="7"/>
        <v>2.7265354093734877</v>
      </c>
      <c r="P37" s="475">
        <f t="shared" si="8"/>
        <v>10.113498027352493</v>
      </c>
      <c r="Q37" s="472">
        <f t="shared" si="9"/>
        <v>12.840033436725982</v>
      </c>
      <c r="R37" s="446">
        <f>VLOOKUP(A37,스마트금융!$A$5:$D$45,2,FALSE)</f>
        <v>3723</v>
      </c>
      <c r="S37" s="446">
        <f>VLOOKUP(A37,스마트금융!$A$5:$D$45,3,FALSE)</f>
        <v>3665</v>
      </c>
      <c r="T37" s="444">
        <f t="shared" si="10"/>
        <v>98.44211657265646</v>
      </c>
      <c r="U37" s="444">
        <f t="shared" si="11"/>
        <v>2.1790831797372019</v>
      </c>
      <c r="V37" s="475">
        <f t="shared" si="12"/>
        <v>9.6724314446637365</v>
      </c>
      <c r="W37" s="478">
        <f t="shared" si="13"/>
        <v>11.851514624400938</v>
      </c>
      <c r="X37" s="444">
        <f t="shared" si="14"/>
        <v>54.539609945667308</v>
      </c>
      <c r="Y37" s="461">
        <f t="shared" si="15"/>
        <v>33</v>
      </c>
      <c r="Z37" s="450">
        <v>7000</v>
      </c>
      <c r="AA37" s="515">
        <v>4000</v>
      </c>
    </row>
    <row r="38" spans="1:27">
      <c r="A38" s="132" t="s">
        <v>103</v>
      </c>
      <c r="B38" s="440">
        <f>VLOOKUP(A38,총수신고!$C$6:$I$45,2,FALSE)</f>
        <v>72426</v>
      </c>
      <c r="C38" s="440">
        <f>VLOOKUP(A38,총수신고!$C$6:$I$45,4,FALSE)</f>
        <v>79926.101607999997</v>
      </c>
      <c r="D38" s="444">
        <f t="shared" si="0"/>
        <v>110.35553752519813</v>
      </c>
      <c r="E38" s="472">
        <f t="shared" si="1"/>
        <v>9.284456297229319</v>
      </c>
      <c r="F38" s="446">
        <f>VLOOKUP(A38,총수신고!$M$6:$U$45,2,FALSE)</f>
        <v>20863</v>
      </c>
      <c r="G38" s="446">
        <f>VLOOKUP(A38,총수신고!$M$6:$U$45,4,FALSE)</f>
        <v>20303.624392999998</v>
      </c>
      <c r="H38" s="444">
        <f t="shared" si="2"/>
        <v>97.318815093706561</v>
      </c>
      <c r="I38" s="444">
        <f t="shared" si="3"/>
        <v>3.1740196825082156</v>
      </c>
      <c r="J38" s="475">
        <f t="shared" si="4"/>
        <v>17.372058947867625</v>
      </c>
      <c r="K38" s="472">
        <f t="shared" si="5"/>
        <v>20.546078630375842</v>
      </c>
      <c r="L38" s="446">
        <f>VLOOKUP(A38,체크카드!$A$5:$D$44,2,FALSE)</f>
        <v>107227</v>
      </c>
      <c r="M38" s="446">
        <f>VLOOKUP(A38,체크카드!$A$5:$D$44,3,FALSE)</f>
        <v>53094.129000000001</v>
      </c>
      <c r="N38" s="444">
        <f t="shared" si="6"/>
        <v>49.515634122002858</v>
      </c>
      <c r="O38" s="444">
        <f t="shared" si="7"/>
        <v>2.7958510087487447</v>
      </c>
      <c r="P38" s="475">
        <f t="shared" si="8"/>
        <v>9.9800685479647235</v>
      </c>
      <c r="Q38" s="472">
        <f t="shared" si="9"/>
        <v>12.775919556713468</v>
      </c>
      <c r="R38" s="446">
        <f>VLOOKUP(A38,스마트금융!$A$5:$D$45,2,FALSE)</f>
        <v>3148</v>
      </c>
      <c r="S38" s="446">
        <f>VLOOKUP(A38,스마트금융!$A$5:$D$45,3,FALSE)</f>
        <v>3042</v>
      </c>
      <c r="T38" s="444">
        <f t="shared" si="10"/>
        <v>96.632782719186778</v>
      </c>
      <c r="U38" s="444">
        <f t="shared" si="11"/>
        <v>1.8086687674653665</v>
      </c>
      <c r="V38" s="475">
        <f t="shared" si="12"/>
        <v>9.4946553233500683</v>
      </c>
      <c r="W38" s="478">
        <f t="shared" si="13"/>
        <v>11.303324090815435</v>
      </c>
      <c r="X38" s="444">
        <f t="shared" si="14"/>
        <v>53.909778575134069</v>
      </c>
      <c r="Y38" s="461">
        <f t="shared" si="15"/>
        <v>34</v>
      </c>
      <c r="Z38" s="450">
        <v>7000</v>
      </c>
      <c r="AA38" s="515">
        <v>4000</v>
      </c>
    </row>
    <row r="39" spans="1:27">
      <c r="A39" s="132" t="s">
        <v>102</v>
      </c>
      <c r="B39" s="440">
        <f>VLOOKUP(A39,총수신고!$C$6:$I$45,2,FALSE)</f>
        <v>94709</v>
      </c>
      <c r="C39" s="440">
        <f>VLOOKUP(A39,총수신고!$C$6:$I$45,4,FALSE)</f>
        <v>96701.369227999996</v>
      </c>
      <c r="D39" s="444">
        <f t="shared" si="0"/>
        <v>102.10367465393998</v>
      </c>
      <c r="E39" s="472">
        <f t="shared" si="1"/>
        <v>8.5902087595248169</v>
      </c>
      <c r="F39" s="446">
        <f>VLOOKUP(A39,총수신고!$M$6:$U$45,2,FALSE)</f>
        <v>21185</v>
      </c>
      <c r="G39" s="446">
        <f>VLOOKUP(A39,총수신고!$M$6:$U$45,4,FALSE)</f>
        <v>21572.060154999999</v>
      </c>
      <c r="H39" s="444">
        <f t="shared" si="2"/>
        <v>101.82704817087563</v>
      </c>
      <c r="I39" s="444">
        <f t="shared" si="3"/>
        <v>3.3723113764765764</v>
      </c>
      <c r="J39" s="475">
        <f t="shared" si="4"/>
        <v>18.176808683999301</v>
      </c>
      <c r="K39" s="472">
        <f t="shared" si="5"/>
        <v>21.549120060475879</v>
      </c>
      <c r="L39" s="446">
        <f>VLOOKUP(A39,체크카드!$A$5:$D$44,2,FALSE)</f>
        <v>89892</v>
      </c>
      <c r="M39" s="446">
        <f>VLOOKUP(A39,체크카드!$A$5:$D$44,3,FALSE)</f>
        <v>43486.516000000003</v>
      </c>
      <c r="N39" s="444">
        <f t="shared" si="6"/>
        <v>48.376402794464475</v>
      </c>
      <c r="O39" s="444">
        <f t="shared" si="7"/>
        <v>2.289929638464705</v>
      </c>
      <c r="P39" s="475">
        <f t="shared" si="8"/>
        <v>9.7504520451686965</v>
      </c>
      <c r="Q39" s="472">
        <f t="shared" si="9"/>
        <v>12.040381683633402</v>
      </c>
      <c r="R39" s="446">
        <f>VLOOKUP(A39,스마트금융!$A$5:$D$45,2,FALSE)</f>
        <v>3096</v>
      </c>
      <c r="S39" s="446">
        <f>VLOOKUP(A39,스마트금융!$A$5:$D$45,3,FALSE)</f>
        <v>3074</v>
      </c>
      <c r="T39" s="444">
        <f t="shared" si="10"/>
        <v>99.289405684754513</v>
      </c>
      <c r="U39" s="444">
        <f t="shared" si="11"/>
        <v>1.8276948688982697</v>
      </c>
      <c r="V39" s="475">
        <f t="shared" si="12"/>
        <v>9.7556818473968967</v>
      </c>
      <c r="W39" s="478">
        <f t="shared" si="13"/>
        <v>11.583376716295167</v>
      </c>
      <c r="X39" s="444">
        <f t="shared" si="14"/>
        <v>53.763087219929261</v>
      </c>
      <c r="Y39" s="461">
        <f t="shared" si="15"/>
        <v>35</v>
      </c>
      <c r="Z39" s="450">
        <v>7000</v>
      </c>
      <c r="AA39" s="515">
        <v>4000</v>
      </c>
    </row>
    <row r="40" spans="1:27">
      <c r="A40" s="132" t="s">
        <v>104</v>
      </c>
      <c r="B40" s="440">
        <f>VLOOKUP(A40,총수신고!$C$6:$I$45,2,FALSE)</f>
        <v>64326</v>
      </c>
      <c r="C40" s="440">
        <f>VLOOKUP(A40,총수신고!$C$6:$I$45,4,FALSE)</f>
        <v>68152.834631000005</v>
      </c>
      <c r="D40" s="444">
        <f t="shared" si="0"/>
        <v>105.94912575164008</v>
      </c>
      <c r="E40" s="472">
        <f t="shared" si="1"/>
        <v>8.913735095043565</v>
      </c>
      <c r="F40" s="446">
        <f>VLOOKUP(A40,총수신고!$M$6:$U$45,2,FALSE)</f>
        <v>18598</v>
      </c>
      <c r="G40" s="446">
        <f>VLOOKUP(A40,총수신고!$M$6:$U$45,4,FALSE)</f>
        <v>18511.132745999999</v>
      </c>
      <c r="H40" s="444">
        <f t="shared" si="2"/>
        <v>99.532921529196685</v>
      </c>
      <c r="I40" s="444">
        <f t="shared" si="3"/>
        <v>2.8938035172470475</v>
      </c>
      <c r="J40" s="475">
        <f t="shared" si="4"/>
        <v>17.767291745113994</v>
      </c>
      <c r="K40" s="472">
        <f t="shared" si="5"/>
        <v>20.661095262361041</v>
      </c>
      <c r="L40" s="446">
        <f>VLOOKUP(A40,체크카드!$A$5:$D$44,2,FALSE)</f>
        <v>67040</v>
      </c>
      <c r="M40" s="446">
        <f>VLOOKUP(A40,체크카드!$A$5:$D$44,3,FALSE)</f>
        <v>35047.116999999998</v>
      </c>
      <c r="N40" s="444">
        <f t="shared" si="6"/>
        <v>52.277919152744623</v>
      </c>
      <c r="O40" s="444">
        <f t="shared" si="7"/>
        <v>1.8455245290526427</v>
      </c>
      <c r="P40" s="475">
        <f t="shared" si="8"/>
        <v>10.536817834218327</v>
      </c>
      <c r="Q40" s="472">
        <f t="shared" si="9"/>
        <v>12.38234236327097</v>
      </c>
      <c r="R40" s="446">
        <f>VLOOKUP(A40,스마트금융!$A$5:$D$45,2,FALSE)</f>
        <v>1815</v>
      </c>
      <c r="S40" s="446">
        <f>VLOOKUP(A40,스마트금융!$A$5:$D$45,3,FALSE)</f>
        <v>1804</v>
      </c>
      <c r="T40" s="444">
        <f t="shared" si="10"/>
        <v>99.393939393939391</v>
      </c>
      <c r="U40" s="444">
        <f t="shared" si="11"/>
        <v>1.0725964682799216</v>
      </c>
      <c r="V40" s="475">
        <f t="shared" si="12"/>
        <v>9.7659528083529317</v>
      </c>
      <c r="W40" s="478">
        <f t="shared" si="13"/>
        <v>10.838549276632854</v>
      </c>
      <c r="X40" s="444">
        <f t="shared" si="14"/>
        <v>52.795721997308434</v>
      </c>
      <c r="Y40" s="461">
        <f t="shared" si="15"/>
        <v>36</v>
      </c>
      <c r="Z40" s="450">
        <v>6000</v>
      </c>
      <c r="AA40" s="515">
        <v>3500</v>
      </c>
    </row>
    <row r="41" spans="1:27">
      <c r="A41" s="132" t="s">
        <v>100</v>
      </c>
      <c r="B41" s="440">
        <f>VLOOKUP(A41,총수신고!$C$6:$I$45,2,FALSE)</f>
        <v>63569</v>
      </c>
      <c r="C41" s="440">
        <f>VLOOKUP(A41,총수신고!$C$6:$I$45,4,FALSE)</f>
        <v>65792.214259999993</v>
      </c>
      <c r="D41" s="444">
        <f t="shared" si="0"/>
        <v>103.4973245764445</v>
      </c>
      <c r="E41" s="472">
        <f t="shared" si="1"/>
        <v>8.7074596205989678</v>
      </c>
      <c r="F41" s="446">
        <f>VLOOKUP(A41,총수신고!$M$6:$U$45,2,FALSE)</f>
        <v>20737</v>
      </c>
      <c r="G41" s="446">
        <f>VLOOKUP(A41,총수신고!$M$6:$U$45,4,FALSE)</f>
        <v>20216.477986000002</v>
      </c>
      <c r="H41" s="444">
        <f t="shared" si="2"/>
        <v>97.489887572937278</v>
      </c>
      <c r="I41" s="444">
        <f t="shared" si="3"/>
        <v>3.1603962817929605</v>
      </c>
      <c r="J41" s="475">
        <f t="shared" si="4"/>
        <v>17.402596528814254</v>
      </c>
      <c r="K41" s="472">
        <f t="shared" si="5"/>
        <v>20.562992810607213</v>
      </c>
      <c r="L41" s="446">
        <f>VLOOKUP(A41,체크카드!$A$5:$D$44,2,FALSE)</f>
        <v>90004</v>
      </c>
      <c r="M41" s="446">
        <f>VLOOKUP(A41,체크카드!$A$5:$D$44,3,FALSE)</f>
        <v>45584.495999999999</v>
      </c>
      <c r="N41" s="444">
        <f t="shared" si="6"/>
        <v>50.647189013821603</v>
      </c>
      <c r="O41" s="444">
        <f t="shared" si="7"/>
        <v>2.4004058739696643</v>
      </c>
      <c r="P41" s="475">
        <f t="shared" si="8"/>
        <v>10.208137835299523</v>
      </c>
      <c r="Q41" s="472">
        <f t="shared" si="9"/>
        <v>12.608543709269187</v>
      </c>
      <c r="R41" s="446">
        <f>VLOOKUP(A41,스마트금융!$A$5:$D$45,2,FALSE)</f>
        <v>2657</v>
      </c>
      <c r="S41" s="446">
        <f>VLOOKUP(A41,스마트금융!$A$5:$D$45,3,FALSE)</f>
        <v>2538</v>
      </c>
      <c r="T41" s="444">
        <f t="shared" si="10"/>
        <v>95.521264584117432</v>
      </c>
      <c r="U41" s="444">
        <f t="shared" si="11"/>
        <v>1.5090076698971402</v>
      </c>
      <c r="V41" s="475">
        <f t="shared" si="12"/>
        <v>9.3854430945270142</v>
      </c>
      <c r="W41" s="478">
        <f t="shared" si="13"/>
        <v>10.894450764424155</v>
      </c>
      <c r="X41" s="444">
        <f t="shared" si="14"/>
        <v>52.773446904899522</v>
      </c>
      <c r="Y41" s="461">
        <f t="shared" si="15"/>
        <v>37</v>
      </c>
      <c r="Z41" s="450">
        <v>6000</v>
      </c>
      <c r="AA41" s="515">
        <v>3500</v>
      </c>
    </row>
    <row r="42" spans="1:27">
      <c r="A42" s="132" t="s">
        <v>99</v>
      </c>
      <c r="B42" s="440">
        <f>VLOOKUP(A42,총수신고!$C$6:$I$45,2,FALSE)</f>
        <v>101589</v>
      </c>
      <c r="C42" s="440">
        <f>VLOOKUP(A42,총수신고!$C$6:$I$45,4,FALSE)</f>
        <v>103812.895831</v>
      </c>
      <c r="D42" s="444">
        <f t="shared" si="0"/>
        <v>102.18911085944345</v>
      </c>
      <c r="E42" s="472">
        <f t="shared" si="1"/>
        <v>8.5973966971126057</v>
      </c>
      <c r="F42" s="446">
        <f>VLOOKUP(A42,총수신고!$M$6:$U$45,2,FALSE)</f>
        <v>25162</v>
      </c>
      <c r="G42" s="446">
        <f>VLOOKUP(A42,총수신고!$M$6:$U$45,4,FALSE)</f>
        <v>23268.551044</v>
      </c>
      <c r="H42" s="444">
        <f t="shared" si="2"/>
        <v>92.474966393768369</v>
      </c>
      <c r="I42" s="444">
        <f t="shared" si="3"/>
        <v>3.6375199603557342</v>
      </c>
      <c r="J42" s="475">
        <f t="shared" si="4"/>
        <v>16.507399579904153</v>
      </c>
      <c r="K42" s="472">
        <f t="shared" si="5"/>
        <v>20.144919540259888</v>
      </c>
      <c r="L42" s="446">
        <f>VLOOKUP(A42,체크카드!$A$5:$D$44,2,FALSE)</f>
        <v>63300</v>
      </c>
      <c r="M42" s="446">
        <f>VLOOKUP(A42,체크카드!$A$5:$D$44,3,FALSE)</f>
        <v>34605.103999999999</v>
      </c>
      <c r="N42" s="444">
        <f t="shared" si="6"/>
        <v>54.668410742496057</v>
      </c>
      <c r="O42" s="444">
        <f t="shared" si="7"/>
        <v>1.8222488389677738</v>
      </c>
      <c r="P42" s="475">
        <f t="shared" si="8"/>
        <v>11.018630707103485</v>
      </c>
      <c r="Q42" s="472">
        <f t="shared" si="9"/>
        <v>12.840879546071259</v>
      </c>
      <c r="R42" s="446">
        <f>VLOOKUP(A42,스마트금융!$A$5:$D$45,2,FALSE)</f>
        <v>2673</v>
      </c>
      <c r="S42" s="446">
        <f>VLOOKUP(A42,스마트금융!$A$5:$D$45,3,FALSE)</f>
        <v>2601</v>
      </c>
      <c r="T42" s="444">
        <f t="shared" si="10"/>
        <v>97.306397306397301</v>
      </c>
      <c r="U42" s="444">
        <f t="shared" si="11"/>
        <v>1.5464653070931684</v>
      </c>
      <c r="V42" s="475">
        <f t="shared" si="12"/>
        <v>9.5608413333807487</v>
      </c>
      <c r="W42" s="478">
        <f t="shared" si="13"/>
        <v>11.107306640473917</v>
      </c>
      <c r="X42" s="444">
        <f t="shared" si="14"/>
        <v>52.690502423917664</v>
      </c>
      <c r="Y42" s="461">
        <f t="shared" si="15"/>
        <v>38</v>
      </c>
      <c r="Z42" s="450">
        <v>6000</v>
      </c>
      <c r="AA42" s="515">
        <v>3500</v>
      </c>
    </row>
    <row r="43" spans="1:27">
      <c r="A43" s="132" t="s">
        <v>107</v>
      </c>
      <c r="B43" s="440">
        <f>VLOOKUP(A43,총수신고!$C$6:$I$45,2,FALSE)</f>
        <v>98016</v>
      </c>
      <c r="C43" s="440">
        <f>VLOOKUP(A43,총수신고!$C$6:$I$45,4,FALSE)</f>
        <v>101580.36300100001</v>
      </c>
      <c r="D43" s="444">
        <f t="shared" si="0"/>
        <v>103.63651138691642</v>
      </c>
      <c r="E43" s="472">
        <f t="shared" si="1"/>
        <v>8.7191697158778965</v>
      </c>
      <c r="F43" s="446">
        <f>VLOOKUP(A43,총수신고!$M$6:$U$45,2,FALSE)</f>
        <v>20444</v>
      </c>
      <c r="G43" s="446">
        <f>VLOOKUP(A43,총수신고!$M$6:$U$45,4,FALSE)</f>
        <v>20040.048232000001</v>
      </c>
      <c r="H43" s="444">
        <f t="shared" si="2"/>
        <v>98.024106006652318</v>
      </c>
      <c r="I43" s="444">
        <f t="shared" si="3"/>
        <v>3.1328154173651712</v>
      </c>
      <c r="J43" s="475">
        <f t="shared" si="4"/>
        <v>17.497958089809416</v>
      </c>
      <c r="K43" s="472">
        <f t="shared" si="5"/>
        <v>20.630773507174588</v>
      </c>
      <c r="L43" s="446">
        <f>VLOOKUP(A43,체크카드!$A$5:$D$44,2,FALSE)</f>
        <v>75365</v>
      </c>
      <c r="M43" s="446">
        <f>VLOOKUP(A43,체크카드!$A$5:$D$44,3,FALSE)</f>
        <v>37605.264000000003</v>
      </c>
      <c r="N43" s="444">
        <f t="shared" si="6"/>
        <v>49.897517415245808</v>
      </c>
      <c r="O43" s="444">
        <f t="shared" si="7"/>
        <v>1.9802324149373061</v>
      </c>
      <c r="P43" s="475">
        <f t="shared" si="8"/>
        <v>10.057038610278711</v>
      </c>
      <c r="Q43" s="472">
        <f t="shared" si="9"/>
        <v>12.037271025216018</v>
      </c>
      <c r="R43" s="446">
        <f>VLOOKUP(A43,스마트금융!$A$5:$D$45,2,FALSE)</f>
        <v>2681</v>
      </c>
      <c r="S43" s="446">
        <f>VLOOKUP(A43,스마트금융!$A$5:$D$45,3,FALSE)</f>
        <v>2652</v>
      </c>
      <c r="T43" s="444">
        <f t="shared" si="10"/>
        <v>98.918314061917187</v>
      </c>
      <c r="U43" s="444">
        <f t="shared" si="11"/>
        <v>1.576788156251858</v>
      </c>
      <c r="V43" s="475">
        <f t="shared" si="12"/>
        <v>9.7192202351667909</v>
      </c>
      <c r="W43" s="478">
        <f t="shared" si="13"/>
        <v>11.296008391418649</v>
      </c>
      <c r="X43" s="444">
        <f t="shared" si="14"/>
        <v>52.683222639687159</v>
      </c>
      <c r="Y43" s="461">
        <f t="shared" si="15"/>
        <v>39</v>
      </c>
      <c r="Z43" s="450">
        <v>6000</v>
      </c>
      <c r="AA43" s="515">
        <v>3500</v>
      </c>
    </row>
    <row r="44" spans="1:27">
      <c r="A44" s="466" t="s">
        <v>105</v>
      </c>
      <c r="B44" s="440">
        <f>VLOOKUP(A44,총수신고!$C$6:$I$45,2,FALSE)</f>
        <v>33147</v>
      </c>
      <c r="C44" s="440">
        <f>VLOOKUP(A44,총수신고!$C$6:$I$45,4,FALSE)</f>
        <v>36338.038419999997</v>
      </c>
      <c r="D44" s="467">
        <f t="shared" si="0"/>
        <v>109.62692979756841</v>
      </c>
      <c r="E44" s="473">
        <f t="shared" si="1"/>
        <v>9.2231569120176164</v>
      </c>
      <c r="F44" s="468">
        <f>VLOOKUP(A44,총수신고!$M$6:$U$45,2,FALSE)</f>
        <v>7812</v>
      </c>
      <c r="G44" s="468">
        <f>VLOOKUP(A44,총수신고!$M$6:$U$45,4,FALSE)</f>
        <v>7582.5077940000001</v>
      </c>
      <c r="H44" s="467">
        <f t="shared" si="2"/>
        <v>97.06231175115208</v>
      </c>
      <c r="I44" s="467">
        <f t="shared" si="3"/>
        <v>1.1853562947719543</v>
      </c>
      <c r="J44" s="476">
        <f t="shared" si="4"/>
        <v>17.326271386820043</v>
      </c>
      <c r="K44" s="473">
        <f t="shared" si="5"/>
        <v>18.511627681591996</v>
      </c>
      <c r="L44" s="468">
        <f>VLOOKUP(A44,체크카드!$A$5:$D$44,2,FALSE)</f>
        <v>36364</v>
      </c>
      <c r="M44" s="468">
        <f>VLOOKUP(A44,체크카드!$A$5:$D$44,3,FALSE)</f>
        <v>21143.591</v>
      </c>
      <c r="N44" s="467">
        <f t="shared" si="6"/>
        <v>58.144293807061928</v>
      </c>
      <c r="O44" s="467">
        <f t="shared" si="7"/>
        <v>1.1133873243484391</v>
      </c>
      <c r="P44" s="476">
        <f t="shared" si="8"/>
        <v>11.7192084511672</v>
      </c>
      <c r="Q44" s="473">
        <f t="shared" si="9"/>
        <v>12.832595775515639</v>
      </c>
      <c r="R44" s="468">
        <f>VLOOKUP(A44,스마트금융!$A$5:$D$45,2,FALSE)</f>
        <v>1064</v>
      </c>
      <c r="S44" s="468">
        <f>VLOOKUP(A44,스마트금융!$A$5:$D$45,3,FALSE)</f>
        <v>1025</v>
      </c>
      <c r="T44" s="467">
        <f t="shared" si="10"/>
        <v>96.334586466165419</v>
      </c>
      <c r="U44" s="467">
        <f t="shared" si="11"/>
        <v>0.60942981152268272</v>
      </c>
      <c r="V44" s="476">
        <f t="shared" si="12"/>
        <v>9.4653560466296636</v>
      </c>
      <c r="W44" s="479">
        <f t="shared" si="13"/>
        <v>10.074785858152346</v>
      </c>
      <c r="X44" s="467">
        <f t="shared" si="14"/>
        <v>50.642166227277592</v>
      </c>
      <c r="Y44" s="469">
        <f t="shared" si="15"/>
        <v>40</v>
      </c>
      <c r="Z44" s="470">
        <v>6000</v>
      </c>
      <c r="AA44" s="516">
        <v>3500</v>
      </c>
    </row>
    <row r="45" spans="1:27">
      <c r="A45" s="132" t="s">
        <v>84</v>
      </c>
      <c r="B45" s="443"/>
      <c r="C45" s="443"/>
      <c r="D45" s="444"/>
      <c r="E45" s="472">
        <f t="shared" si="1"/>
        <v>0</v>
      </c>
      <c r="F45" s="446"/>
      <c r="G45" s="446"/>
      <c r="H45" s="444"/>
      <c r="I45" s="444">
        <f t="shared" si="3"/>
        <v>0</v>
      </c>
      <c r="J45" s="475">
        <f t="shared" si="4"/>
        <v>0</v>
      </c>
      <c r="K45" s="472">
        <f t="shared" si="5"/>
        <v>0</v>
      </c>
      <c r="L45" s="446"/>
      <c r="M45" s="446"/>
      <c r="N45" s="444"/>
      <c r="O45" s="444">
        <f t="shared" si="7"/>
        <v>0</v>
      </c>
      <c r="P45" s="475">
        <f t="shared" si="8"/>
        <v>0</v>
      </c>
      <c r="Q45" s="472">
        <f t="shared" si="9"/>
        <v>0</v>
      </c>
      <c r="R45" s="446"/>
      <c r="S45" s="446"/>
      <c r="T45" s="444"/>
      <c r="U45" s="444">
        <f t="shared" si="11"/>
        <v>0</v>
      </c>
      <c r="V45" s="475">
        <f t="shared" si="12"/>
        <v>0</v>
      </c>
      <c r="W45" s="478">
        <f t="shared" si="13"/>
        <v>0</v>
      </c>
      <c r="X45" s="444">
        <f t="shared" si="14"/>
        <v>0</v>
      </c>
      <c r="Y45" s="461">
        <f t="shared" si="15"/>
        <v>41</v>
      </c>
      <c r="Z45" s="450">
        <v>11000</v>
      </c>
      <c r="AA45" s="517">
        <v>7000</v>
      </c>
    </row>
    <row r="46" spans="1:27" ht="17.25" thickBot="1">
      <c r="A46" s="133" t="s">
        <v>108</v>
      </c>
      <c r="B46" s="453"/>
      <c r="C46" s="453"/>
      <c r="D46" s="512"/>
      <c r="E46" s="454"/>
      <c r="F46" s="456"/>
      <c r="G46" s="456"/>
      <c r="H46" s="454"/>
      <c r="I46" s="454"/>
      <c r="J46" s="518"/>
      <c r="K46" s="454"/>
      <c r="L46" s="456"/>
      <c r="M46" s="456"/>
      <c r="N46" s="454"/>
      <c r="O46" s="454"/>
      <c r="P46" s="454"/>
      <c r="Q46" s="454"/>
      <c r="R46" s="454"/>
      <c r="S46" s="454"/>
      <c r="T46" s="454"/>
      <c r="U46" s="454"/>
      <c r="V46" s="518"/>
      <c r="W46" s="454"/>
      <c r="X46" s="454"/>
      <c r="Y46" s="455"/>
      <c r="Z46" s="519">
        <f>SUM(Z5:Z45)</f>
        <v>361000</v>
      </c>
      <c r="AA46" s="520">
        <f>SUM(AA5:AA45)</f>
        <v>217000</v>
      </c>
    </row>
    <row r="47" spans="1:27">
      <c r="L47" s="115"/>
      <c r="M47" s="115"/>
    </row>
    <row r="48" spans="1:27">
      <c r="L48" s="115"/>
      <c r="M48" s="115"/>
      <c r="Z48" s="418"/>
    </row>
  </sheetData>
  <sortState ref="A4:Y44">
    <sortCondition ref="Y4:Y44"/>
  </sortState>
  <mergeCells count="11">
    <mergeCell ref="A1:AA1"/>
    <mergeCell ref="F3:K3"/>
    <mergeCell ref="B3:E3"/>
    <mergeCell ref="A3:A4"/>
    <mergeCell ref="L3:Q3"/>
    <mergeCell ref="R3:W3"/>
    <mergeCell ref="AB4:AF4"/>
    <mergeCell ref="Z3:Z4"/>
    <mergeCell ref="AA3:AA4"/>
    <mergeCell ref="X3:X4"/>
    <mergeCell ref="Y3:Y4"/>
  </mergeCells>
  <phoneticPr fontId="2" type="noConversion"/>
  <pageMargins left="0.68" right="0.42" top="0.35433070866141736" bottom="0.27559055118110237" header="0.31496062992125984" footer="0.31496062992125984"/>
  <pageSetup paperSize="9" scale="68" orientation="landscape" verticalDpi="0" r:id="rId1"/>
  <colBreaks count="1" manualBreakCount="1">
    <brk id="2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AB47"/>
  <sheetViews>
    <sheetView workbookViewId="0">
      <selection activeCell="A4" sqref="A4:A45"/>
    </sheetView>
  </sheetViews>
  <sheetFormatPr defaultRowHeight="16.5"/>
  <cols>
    <col min="1" max="1" width="9" style="1"/>
    <col min="2" max="3" width="15.625" style="1" hidden="1" customWidth="1"/>
    <col min="4" max="4" width="15.625" style="1" customWidth="1"/>
    <col min="5" max="5" width="10.75" style="1" customWidth="1"/>
    <col min="6" max="6" width="11.5" style="1" hidden="1" customWidth="1"/>
    <col min="7" max="7" width="10.75" style="1" hidden="1" customWidth="1"/>
    <col min="8" max="8" width="9" style="1" hidden="1" customWidth="1"/>
    <col min="9" max="11" width="9" style="1" customWidth="1"/>
    <col min="12" max="13" width="9.375" style="1" hidden="1" customWidth="1"/>
    <col min="14" max="14" width="0" style="1" hidden="1" customWidth="1"/>
    <col min="15" max="17" width="9" style="1"/>
    <col min="18" max="20" width="0" style="1" hidden="1" customWidth="1"/>
    <col min="21" max="24" width="9" style="1"/>
    <col min="25" max="25" width="9" style="114"/>
    <col min="26" max="26" width="26.375" style="1" customWidth="1"/>
    <col min="27" max="27" width="20.25" style="1" customWidth="1"/>
    <col min="28" max="16384" width="9" style="1"/>
  </cols>
  <sheetData>
    <row r="1" spans="1:27" ht="17.25" thickBot="1"/>
    <row r="2" spans="1:27" ht="16.5" customHeight="1" thickBot="1">
      <c r="A2" s="576" t="s">
        <v>83</v>
      </c>
      <c r="B2" s="568" t="s">
        <v>233</v>
      </c>
      <c r="C2" s="568"/>
      <c r="D2" s="568"/>
      <c r="E2" s="568" t="s">
        <v>234</v>
      </c>
      <c r="F2" s="573" t="s">
        <v>235</v>
      </c>
      <c r="G2" s="574"/>
      <c r="H2" s="574"/>
      <c r="I2" s="574"/>
      <c r="J2" s="575"/>
      <c r="K2" s="459"/>
      <c r="L2" s="573" t="s">
        <v>236</v>
      </c>
      <c r="M2" s="574"/>
      <c r="N2" s="574"/>
      <c r="O2" s="574"/>
      <c r="P2" s="574"/>
      <c r="Q2" s="575"/>
      <c r="R2" s="580" t="s">
        <v>237</v>
      </c>
      <c r="S2" s="581"/>
      <c r="T2" s="581"/>
      <c r="U2" s="581"/>
      <c r="V2" s="581"/>
      <c r="W2" s="582"/>
      <c r="X2" s="434"/>
      <c r="Y2" s="434"/>
      <c r="Z2" s="578" t="s">
        <v>239</v>
      </c>
      <c r="AA2" s="578" t="s">
        <v>240</v>
      </c>
    </row>
    <row r="3" spans="1:27" ht="45.75" customHeight="1" thickBot="1">
      <c r="A3" s="583"/>
      <c r="B3" s="417" t="s">
        <v>230</v>
      </c>
      <c r="C3" s="417" t="s">
        <v>231</v>
      </c>
      <c r="D3" s="417" t="s">
        <v>232</v>
      </c>
      <c r="E3" s="584"/>
      <c r="F3" s="417" t="s">
        <v>230</v>
      </c>
      <c r="G3" s="417" t="s">
        <v>231</v>
      </c>
      <c r="H3" s="417" t="s">
        <v>232</v>
      </c>
      <c r="I3" s="458" t="s">
        <v>247</v>
      </c>
      <c r="J3" s="458" t="s">
        <v>248</v>
      </c>
      <c r="K3" s="458" t="s">
        <v>251</v>
      </c>
      <c r="L3" s="417" t="s">
        <v>230</v>
      </c>
      <c r="M3" s="417" t="s">
        <v>231</v>
      </c>
      <c r="N3" s="417" t="s">
        <v>232</v>
      </c>
      <c r="O3" s="458" t="s">
        <v>249</v>
      </c>
      <c r="P3" s="458" t="s">
        <v>250</v>
      </c>
      <c r="Q3" s="458" t="s">
        <v>252</v>
      </c>
      <c r="R3" s="417" t="s">
        <v>230</v>
      </c>
      <c r="S3" s="417" t="s">
        <v>231</v>
      </c>
      <c r="T3" s="417" t="s">
        <v>232</v>
      </c>
      <c r="U3" s="458" t="s">
        <v>253</v>
      </c>
      <c r="V3" s="458" t="s">
        <v>254</v>
      </c>
      <c r="W3" s="458" t="s">
        <v>255</v>
      </c>
      <c r="X3" s="433"/>
      <c r="Y3" s="433"/>
      <c r="Z3" s="579"/>
      <c r="AA3" s="579"/>
    </row>
    <row r="4" spans="1:27">
      <c r="A4" s="131" t="s">
        <v>28</v>
      </c>
      <c r="B4" s="414">
        <f>VLOOKUP(A4,총수신고!$C$6:$I$45,2,FALSE)</f>
        <v>317089</v>
      </c>
      <c r="C4" s="414">
        <f>VLOOKUP(A4,총수신고!$C$6:$I$45,4,FALSE)</f>
        <v>331940.03623899998</v>
      </c>
      <c r="D4" s="415">
        <f>(C4/B4)*100</f>
        <v>104.68355453484668</v>
      </c>
      <c r="E4" s="416">
        <f>D4*10/MAX($D$4:$D$44)</f>
        <v>8.8072597797412726</v>
      </c>
      <c r="F4" s="115">
        <f>VLOOKUP(A4,총수신고!$M$6:$U$45,2,FALSE)</f>
        <v>73235</v>
      </c>
      <c r="G4" s="115">
        <f>VLOOKUP(A4,총수신고!$M$6:$U$45,4,FALSE)</f>
        <v>68177.165401999999</v>
      </c>
      <c r="H4" s="415">
        <f>(G4/F4)*100</f>
        <v>93.09369208984775</v>
      </c>
      <c r="I4" s="415">
        <f>G4*20/MAX($G$4:$G$44)</f>
        <v>10.657982077237994</v>
      </c>
      <c r="J4" s="416">
        <f>H4*20/MAX($H$4:$H$44)</f>
        <v>16.617846252055905</v>
      </c>
      <c r="K4" s="416">
        <f>SUM(I4:J4)</f>
        <v>27.275828329293901</v>
      </c>
      <c r="L4" s="115">
        <f>VLOOKUP(A4,체크카드!$A$5:$D$44,2,FALSE)</f>
        <v>302599</v>
      </c>
      <c r="M4" s="115">
        <f>VLOOKUP(A4,체크카드!$A$5:$D$44,3,FALSE)</f>
        <v>225199.576</v>
      </c>
      <c r="N4" s="415">
        <f>(M4/L4)*100</f>
        <v>74.42178460602976</v>
      </c>
      <c r="O4" s="415">
        <f>M4*15/MAX($M$4:$M$44)</f>
        <v>11.858645646666311</v>
      </c>
      <c r="P4" s="416">
        <f>N4*15/MAX($N$4:$N$44)</f>
        <v>14.999999999999998</v>
      </c>
      <c r="Q4" s="416">
        <f>SUM(O4:P4)</f>
        <v>26.858645646666311</v>
      </c>
      <c r="R4" s="115">
        <f>VLOOKUP(A4,스마트금융!$A$5:$D$45,2,FALSE)</f>
        <v>10583</v>
      </c>
      <c r="S4" s="115">
        <f>VLOOKUP(A4,스마트금융!$A$5:$D$45,3,FALSE)</f>
        <v>10145</v>
      </c>
      <c r="T4" s="415">
        <f>(S4/R4)*100</f>
        <v>95.861286969668342</v>
      </c>
      <c r="U4" s="415">
        <f>S4*10/MAX($S$4:$S$44)</f>
        <v>6.0318687199001131</v>
      </c>
      <c r="V4" s="416">
        <f>T4*10/MAX($T$4:$T$44)</f>
        <v>9.418851998443305</v>
      </c>
      <c r="W4" s="415">
        <f>SUM(U4:V4)</f>
        <v>15.450720718343419</v>
      </c>
      <c r="X4" s="415">
        <f>SUM(E4,K4,Q4,W4)</f>
        <v>78.392454474044911</v>
      </c>
      <c r="Y4" s="460">
        <f>RANK(X4,$X$4:$X$44)</f>
        <v>4</v>
      </c>
      <c r="Z4" s="418"/>
      <c r="AA4" s="418"/>
    </row>
    <row r="5" spans="1:27">
      <c r="A5" s="132" t="s">
        <v>29</v>
      </c>
      <c r="B5" s="414">
        <f>VLOOKUP(A5,총수신고!$C$6:$I$45,2,FALSE)</f>
        <v>255500</v>
      </c>
      <c r="C5" s="414">
        <f>VLOOKUP(A5,총수신고!$C$6:$I$45,4,FALSE)</f>
        <v>241537.95784700001</v>
      </c>
      <c r="D5" s="415">
        <f t="shared" ref="D5:D44" si="0">(C5/B5)*100</f>
        <v>94.535404245401182</v>
      </c>
      <c r="E5" s="416">
        <f t="shared" ref="E5:E44" si="1">D5*10/MAX($D$4:$D$44)</f>
        <v>7.9534733728873519</v>
      </c>
      <c r="F5" s="115">
        <f>VLOOKUP(A5,총수신고!$M$6:$U$45,2,FALSE)</f>
        <v>68038</v>
      </c>
      <c r="G5" s="115">
        <f>VLOOKUP(A5,총수신고!$M$6:$U$45,4,FALSE)</f>
        <v>56736.576221000003</v>
      </c>
      <c r="H5" s="415">
        <f t="shared" ref="H5:H44" si="2">(G5/F5)*100</f>
        <v>83.389541463593872</v>
      </c>
      <c r="I5" s="415">
        <f t="shared" ref="I5:I44" si="3">G5*20/MAX($G$4:$G$44)</f>
        <v>8.8695006447059832</v>
      </c>
      <c r="J5" s="416">
        <f t="shared" ref="J5:J44" si="4">H5*20/MAX($H$4:$H$44)</f>
        <v>14.885590505251496</v>
      </c>
      <c r="K5" s="416">
        <f t="shared" ref="K5:K44" si="5">SUM(I5:J5)</f>
        <v>23.75509114995748</v>
      </c>
      <c r="L5" s="115">
        <f>VLOOKUP(A5,체크카드!$A$5:$D$44,2,FALSE)</f>
        <v>238942</v>
      </c>
      <c r="M5" s="115">
        <f>VLOOKUP(A5,체크카드!$A$5:$D$44,3,FALSE)</f>
        <v>124139.98299999999</v>
      </c>
      <c r="N5" s="415">
        <f t="shared" ref="N5:N43" si="6">(M5/L5)*100</f>
        <v>51.954023570573604</v>
      </c>
      <c r="O5" s="415">
        <f t="shared" ref="O5:O44" si="7">M5*15/MAX($M$4:$M$44)</f>
        <v>6.5370108378009544</v>
      </c>
      <c r="P5" s="416">
        <f t="shared" ref="P5:P44" si="8">N5*15/MAX($N$4:$N$44)</f>
        <v>10.471535420496531</v>
      </c>
      <c r="Q5" s="416">
        <f t="shared" ref="Q5:Q44" si="9">SUM(O5:P5)</f>
        <v>17.008546258297486</v>
      </c>
      <c r="R5" s="115">
        <f>VLOOKUP(A5,스마트금융!$A$5:$D$45,2,FALSE)</f>
        <v>7626</v>
      </c>
      <c r="S5" s="115">
        <f>VLOOKUP(A5,스마트금융!$A$5:$D$45,3,FALSE)</f>
        <v>7349</v>
      </c>
      <c r="T5" s="415">
        <f t="shared" ref="T5:T44" si="10">(S5/R5)*100</f>
        <v>96.367689483346439</v>
      </c>
      <c r="U5" s="415">
        <f t="shared" ref="U5:U44" si="11">S5*10/MAX($S$4:$S$44)</f>
        <v>4.3694631072001906</v>
      </c>
      <c r="V5" s="416">
        <f t="shared" ref="V5:V44" si="12">T5*10/MAX($T$4:$T$44)</f>
        <v>9.4686085840134826</v>
      </c>
      <c r="W5" s="415">
        <f t="shared" ref="W5:W44" si="13">SUM(U5:V5)</f>
        <v>13.838071691213674</v>
      </c>
      <c r="X5" s="415">
        <f t="shared" ref="X5:X44" si="14">SUM(E5,K5,Q5,W5)</f>
        <v>62.555182472355995</v>
      </c>
      <c r="Y5" s="460">
        <f t="shared" ref="Y5:Y44" si="15">RANK(X5,$X$4:$X$44)</f>
        <v>20</v>
      </c>
      <c r="Z5" s="418"/>
    </row>
    <row r="6" spans="1:27">
      <c r="A6" s="132" t="s">
        <v>30</v>
      </c>
      <c r="B6" s="414">
        <f>VLOOKUP(A6,총수신고!$C$6:$I$45,2,FALSE)</f>
        <v>161565</v>
      </c>
      <c r="C6" s="414">
        <f>VLOOKUP(A6,총수신고!$C$6:$I$45,4,FALSE)</f>
        <v>173115.560451</v>
      </c>
      <c r="D6" s="415">
        <f t="shared" si="0"/>
        <v>107.14917243895646</v>
      </c>
      <c r="E6" s="416">
        <f t="shared" si="1"/>
        <v>9.0146976862545376</v>
      </c>
      <c r="F6" s="115">
        <f>VLOOKUP(A6,총수신고!$M$6:$U$45,2,FALSE)</f>
        <v>37301</v>
      </c>
      <c r="G6" s="115">
        <f>VLOOKUP(A6,총수신고!$M$6:$U$45,4,FALSE)</f>
        <v>38179.761086999999</v>
      </c>
      <c r="H6" s="415">
        <f t="shared" si="2"/>
        <v>102.35586468727379</v>
      </c>
      <c r="I6" s="415">
        <f t="shared" si="3"/>
        <v>5.9685557030585707</v>
      </c>
      <c r="J6" s="416">
        <f t="shared" si="4"/>
        <v>18.271205966648388</v>
      </c>
      <c r="K6" s="416">
        <f t="shared" si="5"/>
        <v>24.239761669706958</v>
      </c>
      <c r="L6" s="115">
        <f>VLOOKUP(A6,체크카드!$A$5:$D$44,2,FALSE)</f>
        <v>166288</v>
      </c>
      <c r="M6" s="115">
        <f>VLOOKUP(A6,체크카드!$A$5:$D$44,3,FALSE)</f>
        <v>82829.684999999998</v>
      </c>
      <c r="N6" s="415">
        <f t="shared" si="6"/>
        <v>49.810981550081785</v>
      </c>
      <c r="O6" s="415">
        <f t="shared" si="7"/>
        <v>4.3616773214528246</v>
      </c>
      <c r="P6" s="416">
        <f t="shared" si="8"/>
        <v>10.039596970249089</v>
      </c>
      <c r="Q6" s="416">
        <f t="shared" si="9"/>
        <v>14.401274291701913</v>
      </c>
      <c r="R6" s="115">
        <f>VLOOKUP(A6,스마트금융!$A$5:$D$45,2,FALSE)</f>
        <v>6068</v>
      </c>
      <c r="S6" s="115">
        <f>VLOOKUP(A6,스마트금융!$A$5:$D$45,3,FALSE)</f>
        <v>5864</v>
      </c>
      <c r="T6" s="415">
        <f t="shared" si="10"/>
        <v>96.6381015161503</v>
      </c>
      <c r="U6" s="415">
        <f t="shared" si="11"/>
        <v>3.4865330875795233</v>
      </c>
      <c r="V6" s="416">
        <f t="shared" si="12"/>
        <v>9.4951779218149213</v>
      </c>
      <c r="W6" s="415">
        <f t="shared" si="13"/>
        <v>12.981711009394445</v>
      </c>
      <c r="X6" s="415">
        <f t="shared" si="14"/>
        <v>60.637444657057856</v>
      </c>
      <c r="Y6" s="460">
        <f t="shared" si="15"/>
        <v>24</v>
      </c>
      <c r="Z6" s="418"/>
    </row>
    <row r="7" spans="1:27">
      <c r="A7" s="132" t="s">
        <v>31</v>
      </c>
      <c r="B7" s="414">
        <f>VLOOKUP(A7,총수신고!$C$6:$I$45,2,FALSE)</f>
        <v>451356</v>
      </c>
      <c r="C7" s="414">
        <f>VLOOKUP(A7,총수신고!$C$6:$I$45,4,FALSE)</f>
        <v>473815.45544799999</v>
      </c>
      <c r="D7" s="415">
        <f t="shared" si="0"/>
        <v>104.97599576564841</v>
      </c>
      <c r="E7" s="416">
        <f t="shared" si="1"/>
        <v>8.8318635095383957</v>
      </c>
      <c r="F7" s="115">
        <f>VLOOKUP(A7,총수신고!$M$6:$U$45,2,FALSE)</f>
        <v>119184</v>
      </c>
      <c r="G7" s="115">
        <f>VLOOKUP(A7,총수신고!$M$6:$U$45,4,FALSE)</f>
        <v>127936.348378</v>
      </c>
      <c r="H7" s="415">
        <f t="shared" si="2"/>
        <v>107.34355985534971</v>
      </c>
      <c r="I7" s="415">
        <f t="shared" si="3"/>
        <v>20</v>
      </c>
      <c r="J7" s="416">
        <f t="shared" si="4"/>
        <v>19.161542890606814</v>
      </c>
      <c r="K7" s="416">
        <f t="shared" si="5"/>
        <v>39.16154289060681</v>
      </c>
      <c r="L7" s="115">
        <f>VLOOKUP(A7,체크카드!$A$5:$D$44,2,FALSE)</f>
        <v>471032</v>
      </c>
      <c r="M7" s="115">
        <f>VLOOKUP(A7,체크카드!$A$5:$D$44,3,FALSE)</f>
        <v>237153.94399999999</v>
      </c>
      <c r="N7" s="415">
        <f t="shared" si="6"/>
        <v>50.34773518571987</v>
      </c>
      <c r="O7" s="415">
        <f t="shared" si="7"/>
        <v>12.488143341821148</v>
      </c>
      <c r="P7" s="416">
        <f t="shared" si="8"/>
        <v>10.147781752127042</v>
      </c>
      <c r="Q7" s="416">
        <f t="shared" si="9"/>
        <v>22.635925093948188</v>
      </c>
      <c r="R7" s="115">
        <f>VLOOKUP(A7,스마트금융!$A$5:$D$45,2,FALSE)</f>
        <v>17231</v>
      </c>
      <c r="S7" s="115">
        <f>VLOOKUP(A7,스마트금융!$A$5:$D$45,3,FALSE)</f>
        <v>16819</v>
      </c>
      <c r="T7" s="415">
        <f t="shared" si="10"/>
        <v>97.608960594277761</v>
      </c>
      <c r="U7" s="415">
        <f t="shared" si="11"/>
        <v>10</v>
      </c>
      <c r="V7" s="416">
        <f t="shared" si="12"/>
        <v>9.5905696931680531</v>
      </c>
      <c r="W7" s="415">
        <f t="shared" si="13"/>
        <v>19.590569693168053</v>
      </c>
      <c r="X7" s="415">
        <f t="shared" si="14"/>
        <v>90.219901187261442</v>
      </c>
      <c r="Y7" s="460">
        <f t="shared" si="15"/>
        <v>1</v>
      </c>
      <c r="Z7" s="418"/>
    </row>
    <row r="8" spans="1:27">
      <c r="A8" s="132" t="s">
        <v>84</v>
      </c>
      <c r="B8" s="414"/>
      <c r="C8" s="414"/>
      <c r="D8" s="415"/>
      <c r="E8" s="416">
        <f t="shared" si="1"/>
        <v>0</v>
      </c>
      <c r="F8" s="115"/>
      <c r="G8" s="115"/>
      <c r="H8" s="415"/>
      <c r="I8" s="415">
        <f t="shared" si="3"/>
        <v>0</v>
      </c>
      <c r="J8" s="416">
        <f t="shared" si="4"/>
        <v>0</v>
      </c>
      <c r="K8" s="416">
        <f t="shared" si="5"/>
        <v>0</v>
      </c>
      <c r="L8" s="115"/>
      <c r="M8" s="115"/>
      <c r="N8" s="415"/>
      <c r="O8" s="415">
        <f t="shared" si="7"/>
        <v>0</v>
      </c>
      <c r="P8" s="416">
        <f t="shared" si="8"/>
        <v>0</v>
      </c>
      <c r="Q8" s="416">
        <f t="shared" si="9"/>
        <v>0</v>
      </c>
      <c r="R8" s="115"/>
      <c r="S8" s="115"/>
      <c r="T8" s="415"/>
      <c r="U8" s="415">
        <f t="shared" si="11"/>
        <v>0</v>
      </c>
      <c r="V8" s="416">
        <f t="shared" si="12"/>
        <v>0</v>
      </c>
      <c r="W8" s="415">
        <f t="shared" si="13"/>
        <v>0</v>
      </c>
      <c r="X8" s="415">
        <f t="shared" si="14"/>
        <v>0</v>
      </c>
      <c r="Y8" s="460">
        <f t="shared" si="15"/>
        <v>41</v>
      </c>
      <c r="Z8" s="418"/>
    </row>
    <row r="9" spans="1:27">
      <c r="A9" s="132" t="s">
        <v>85</v>
      </c>
      <c r="B9" s="414">
        <f>VLOOKUP(A9,총수신고!$C$6:$I$45,2,FALSE)</f>
        <v>265241</v>
      </c>
      <c r="C9" s="414">
        <f>VLOOKUP(A9,총수신고!$C$6:$I$45,4,FALSE)</f>
        <v>278237.21139000001</v>
      </c>
      <c r="D9" s="415">
        <f t="shared" si="0"/>
        <v>104.89977469169548</v>
      </c>
      <c r="E9" s="416">
        <f t="shared" si="1"/>
        <v>8.8254508614201992</v>
      </c>
      <c r="F9" s="115">
        <f>VLOOKUP(A9,총수신고!$M$6:$U$45,2,FALSE)</f>
        <v>62839</v>
      </c>
      <c r="G9" s="115">
        <f>VLOOKUP(A9,총수신고!$M$6:$U$45,4,FALSE)</f>
        <v>61894.689847000001</v>
      </c>
      <c r="H9" s="415">
        <f t="shared" si="2"/>
        <v>98.497254646000101</v>
      </c>
      <c r="I9" s="415">
        <f t="shared" si="3"/>
        <v>9.6758568822249504</v>
      </c>
      <c r="J9" s="416">
        <f t="shared" si="4"/>
        <v>17.5824182843354</v>
      </c>
      <c r="K9" s="416">
        <f t="shared" si="5"/>
        <v>27.258275166560352</v>
      </c>
      <c r="L9" s="115">
        <f>VLOOKUP(A9,체크카드!$A$5:$D$44,2,FALSE)</f>
        <v>253357</v>
      </c>
      <c r="M9" s="115">
        <f>VLOOKUP(A9,체크카드!$A$5:$D$44,3,FALSE)</f>
        <v>123961.905</v>
      </c>
      <c r="N9" s="415">
        <f t="shared" si="6"/>
        <v>48.927760038206955</v>
      </c>
      <c r="O9" s="415">
        <f t="shared" si="7"/>
        <v>6.5276335381764339</v>
      </c>
      <c r="P9" s="416">
        <f t="shared" si="8"/>
        <v>9.8615802410312163</v>
      </c>
      <c r="Q9" s="416">
        <f t="shared" si="9"/>
        <v>16.389213779207651</v>
      </c>
      <c r="R9" s="115">
        <f>VLOOKUP(A9,스마트금융!$A$5:$D$45,2,FALSE)</f>
        <v>9262</v>
      </c>
      <c r="S9" s="115">
        <f>VLOOKUP(A9,스마트금융!$A$5:$D$45,3,FALSE)</f>
        <v>8995</v>
      </c>
      <c r="T9" s="415">
        <f t="shared" si="10"/>
        <v>97.117253293025257</v>
      </c>
      <c r="U9" s="415">
        <f t="shared" si="11"/>
        <v>5.3481181996551523</v>
      </c>
      <c r="V9" s="416">
        <f t="shared" si="12"/>
        <v>9.5422569858859507</v>
      </c>
      <c r="W9" s="415">
        <f t="shared" si="13"/>
        <v>14.890375185541103</v>
      </c>
      <c r="X9" s="415">
        <f t="shared" si="14"/>
        <v>67.3633149927293</v>
      </c>
      <c r="Y9" s="460">
        <f t="shared" si="15"/>
        <v>12</v>
      </c>
      <c r="Z9" s="418"/>
    </row>
    <row r="10" spans="1:27">
      <c r="A10" s="132" t="s">
        <v>86</v>
      </c>
      <c r="B10" s="414">
        <f>VLOOKUP(A10,총수신고!$C$6:$I$45,2,FALSE)</f>
        <v>335902</v>
      </c>
      <c r="C10" s="414">
        <f>VLOOKUP(A10,총수신고!$C$6:$I$45,4,FALSE)</f>
        <v>352795.65870099998</v>
      </c>
      <c r="D10" s="415">
        <f t="shared" si="0"/>
        <v>105.02934150466506</v>
      </c>
      <c r="E10" s="416">
        <f t="shared" si="1"/>
        <v>8.836351604958443</v>
      </c>
      <c r="F10" s="115">
        <f>VLOOKUP(A10,총수신고!$M$6:$U$45,2,FALSE)</f>
        <v>82878</v>
      </c>
      <c r="G10" s="115">
        <f>VLOOKUP(A10,총수신고!$M$6:$U$45,4,FALSE)</f>
        <v>82572.820999999996</v>
      </c>
      <c r="H10" s="415">
        <f t="shared" si="2"/>
        <v>99.631773208812945</v>
      </c>
      <c r="I10" s="415">
        <f t="shared" si="3"/>
        <v>12.908422359536294</v>
      </c>
      <c r="J10" s="416">
        <f t="shared" si="4"/>
        <v>17.784937430624403</v>
      </c>
      <c r="K10" s="416">
        <f t="shared" si="5"/>
        <v>30.693359790160699</v>
      </c>
      <c r="L10" s="115">
        <f>VLOOKUP(A10,체크카드!$A$5:$D$44,2,FALSE)</f>
        <v>290833</v>
      </c>
      <c r="M10" s="115">
        <f>VLOOKUP(A10,체크카드!$A$5:$D$44,3,FALSE)</f>
        <v>146866.09599999999</v>
      </c>
      <c r="N10" s="415">
        <f t="shared" si="6"/>
        <v>50.498428995334088</v>
      </c>
      <c r="O10" s="415">
        <f t="shared" si="7"/>
        <v>7.7337312125901887</v>
      </c>
      <c r="P10" s="416">
        <f t="shared" si="8"/>
        <v>10.178154675272857</v>
      </c>
      <c r="Q10" s="416">
        <f t="shared" si="9"/>
        <v>17.911885887863047</v>
      </c>
      <c r="R10" s="115">
        <f>VLOOKUP(A10,스마트금융!$A$5:$D$45,2,FALSE)</f>
        <v>10878</v>
      </c>
      <c r="S10" s="115">
        <f>VLOOKUP(A10,스마트금융!$A$5:$D$45,3,FALSE)</f>
        <v>10632</v>
      </c>
      <c r="T10" s="415">
        <f t="shared" si="10"/>
        <v>97.738554881412014</v>
      </c>
      <c r="U10" s="415">
        <f t="shared" si="11"/>
        <v>6.3214222010821093</v>
      </c>
      <c r="V10" s="416">
        <f t="shared" si="12"/>
        <v>9.6033029815365651</v>
      </c>
      <c r="W10" s="415">
        <f t="shared" si="13"/>
        <v>15.924725182618674</v>
      </c>
      <c r="X10" s="415">
        <f t="shared" si="14"/>
        <v>73.366322465600859</v>
      </c>
      <c r="Y10" s="460">
        <f t="shared" si="15"/>
        <v>7</v>
      </c>
      <c r="Z10" s="418"/>
    </row>
    <row r="11" spans="1:27">
      <c r="A11" s="132" t="s">
        <v>87</v>
      </c>
      <c r="B11" s="414">
        <f>VLOOKUP(A11,총수신고!$C$6:$I$45,2,FALSE)</f>
        <v>352943</v>
      </c>
      <c r="C11" s="414">
        <f>VLOOKUP(A11,총수신고!$C$6:$I$45,4,FALSE)</f>
        <v>369263.31683700002</v>
      </c>
      <c r="D11" s="415">
        <f t="shared" si="0"/>
        <v>104.6240658794763</v>
      </c>
      <c r="E11" s="416">
        <f t="shared" si="1"/>
        <v>8.8022548671346783</v>
      </c>
      <c r="F11" s="115">
        <f>VLOOKUP(A11,총수신고!$M$6:$U$45,2,FALSE)</f>
        <v>68028</v>
      </c>
      <c r="G11" s="115">
        <f>VLOOKUP(A11,총수신고!$M$6:$U$45,4,FALSE)</f>
        <v>71589.543223000001</v>
      </c>
      <c r="H11" s="415">
        <f t="shared" si="2"/>
        <v>105.23540780707943</v>
      </c>
      <c r="I11" s="415">
        <f t="shared" si="3"/>
        <v>11.191431384532244</v>
      </c>
      <c r="J11" s="416">
        <f t="shared" si="4"/>
        <v>18.785223659650747</v>
      </c>
      <c r="K11" s="416">
        <f t="shared" si="5"/>
        <v>29.976655044182991</v>
      </c>
      <c r="L11" s="115">
        <f>VLOOKUP(A11,체크카드!$A$5:$D$44,2,FALSE)</f>
        <v>243728</v>
      </c>
      <c r="M11" s="115">
        <f>VLOOKUP(A11,체크카드!$A$5:$D$44,3,FALSE)</f>
        <v>126301.715</v>
      </c>
      <c r="N11" s="415">
        <f t="shared" si="6"/>
        <v>51.820765361386464</v>
      </c>
      <c r="O11" s="415">
        <f t="shared" si="7"/>
        <v>6.650844150573529</v>
      </c>
      <c r="P11" s="416">
        <f t="shared" si="8"/>
        <v>10.444676710397214</v>
      </c>
      <c r="Q11" s="416">
        <f t="shared" si="9"/>
        <v>17.095520860970744</v>
      </c>
      <c r="R11" s="115">
        <f>VLOOKUP(A11,스마트금융!$A$5:$D$45,2,FALSE)</f>
        <v>10330</v>
      </c>
      <c r="S11" s="115">
        <f>VLOOKUP(A11,스마트금융!$A$5:$D$45,3,FALSE)</f>
        <v>10222</v>
      </c>
      <c r="T11" s="415">
        <f t="shared" si="10"/>
        <v>98.954501452081317</v>
      </c>
      <c r="U11" s="415">
        <f t="shared" si="11"/>
        <v>6.0776502764730367</v>
      </c>
      <c r="V11" s="416">
        <f t="shared" si="12"/>
        <v>9.7227758276581966</v>
      </c>
      <c r="W11" s="415">
        <f t="shared" si="13"/>
        <v>15.800426104131233</v>
      </c>
      <c r="X11" s="415">
        <f t="shared" si="14"/>
        <v>71.674856876419653</v>
      </c>
      <c r="Y11" s="460">
        <f t="shared" si="15"/>
        <v>9</v>
      </c>
      <c r="Z11" s="418"/>
    </row>
    <row r="12" spans="1:27">
      <c r="A12" s="132" t="s">
        <v>88</v>
      </c>
      <c r="B12" s="414">
        <f>VLOOKUP(A12,총수신고!$C$6:$I$45,2,FALSE)</f>
        <v>281761</v>
      </c>
      <c r="C12" s="414">
        <f>VLOOKUP(A12,총수신고!$C$6:$I$45,4,FALSE)</f>
        <v>303655.90121400001</v>
      </c>
      <c r="D12" s="415">
        <f t="shared" si="0"/>
        <v>107.77073520252981</v>
      </c>
      <c r="E12" s="416">
        <f t="shared" si="1"/>
        <v>9.0669911410624948</v>
      </c>
      <c r="F12" s="115">
        <f>VLOOKUP(A12,총수신고!$M$6:$U$45,2,FALSE)</f>
        <v>56604</v>
      </c>
      <c r="G12" s="115">
        <f>VLOOKUP(A12,총수신고!$M$6:$U$45,4,FALSE)</f>
        <v>57791.652378999999</v>
      </c>
      <c r="H12" s="415">
        <f t="shared" si="2"/>
        <v>102.09817747685676</v>
      </c>
      <c r="I12" s="415">
        <f t="shared" si="3"/>
        <v>9.0344383143169154</v>
      </c>
      <c r="J12" s="416">
        <f t="shared" si="4"/>
        <v>18.225207077274678</v>
      </c>
      <c r="K12" s="416">
        <f t="shared" si="5"/>
        <v>27.259645391591594</v>
      </c>
      <c r="L12" s="115">
        <f>VLOOKUP(A12,체크카드!$A$5:$D$44,2,FALSE)</f>
        <v>190112</v>
      </c>
      <c r="M12" s="115">
        <f>VLOOKUP(A12,체크카드!$A$5:$D$44,3,FALSE)</f>
        <v>102677.7</v>
      </c>
      <c r="N12" s="415">
        <f t="shared" si="6"/>
        <v>54.009057818549067</v>
      </c>
      <c r="O12" s="415">
        <f t="shared" si="7"/>
        <v>5.406841707884519</v>
      </c>
      <c r="P12" s="416">
        <f t="shared" si="8"/>
        <v>10.885735562065488</v>
      </c>
      <c r="Q12" s="416">
        <f t="shared" si="9"/>
        <v>16.292577269950009</v>
      </c>
      <c r="R12" s="115">
        <f>VLOOKUP(A12,스마트금융!$A$5:$D$45,2,FALSE)</f>
        <v>9146</v>
      </c>
      <c r="S12" s="115">
        <f>VLOOKUP(A12,스마트금융!$A$5:$D$45,3,FALSE)</f>
        <v>9010</v>
      </c>
      <c r="T12" s="415">
        <f t="shared" si="10"/>
        <v>98.513011152416354</v>
      </c>
      <c r="U12" s="415">
        <f t="shared" si="11"/>
        <v>5.3570366847018249</v>
      </c>
      <c r="V12" s="416">
        <f t="shared" si="12"/>
        <v>9.6793971925204438</v>
      </c>
      <c r="W12" s="415">
        <f t="shared" si="13"/>
        <v>15.036433877222269</v>
      </c>
      <c r="X12" s="415">
        <f t="shared" si="14"/>
        <v>67.655647679826373</v>
      </c>
      <c r="Y12" s="460">
        <f t="shared" si="15"/>
        <v>11</v>
      </c>
      <c r="Z12" s="418"/>
    </row>
    <row r="13" spans="1:27">
      <c r="A13" s="132" t="s">
        <v>89</v>
      </c>
      <c r="B13" s="414">
        <f>VLOOKUP(A13,총수신고!$C$6:$I$45,2,FALSE)</f>
        <v>114428</v>
      </c>
      <c r="C13" s="414">
        <f>VLOOKUP(A13,총수신고!$C$6:$I$45,4,FALSE)</f>
        <v>134420.75654199999</v>
      </c>
      <c r="D13" s="415">
        <f t="shared" si="0"/>
        <v>117.47190944698849</v>
      </c>
      <c r="E13" s="416">
        <f t="shared" si="1"/>
        <v>9.8831724612243157</v>
      </c>
      <c r="F13" s="115">
        <f>VLOOKUP(A13,총수신고!$M$6:$U$45,2,FALSE)</f>
        <v>32723</v>
      </c>
      <c r="G13" s="115">
        <f>VLOOKUP(A13,총수신고!$M$6:$U$45,4,FALSE)</f>
        <v>33797.532978000003</v>
      </c>
      <c r="H13" s="415">
        <f t="shared" si="2"/>
        <v>103.2837239189561</v>
      </c>
      <c r="I13" s="415">
        <f t="shared" si="3"/>
        <v>5.2834918936629345</v>
      </c>
      <c r="J13" s="416">
        <f t="shared" si="4"/>
        <v>18.436835041073387</v>
      </c>
      <c r="K13" s="416">
        <f t="shared" si="5"/>
        <v>23.72032693473632</v>
      </c>
      <c r="L13" s="115">
        <f>VLOOKUP(A13,체크카드!$A$5:$D$44,2,FALSE)</f>
        <v>116544</v>
      </c>
      <c r="M13" s="115">
        <f>VLOOKUP(A13,체크카드!$A$5:$D$44,3,FALSE)</f>
        <v>58357.309000000001</v>
      </c>
      <c r="N13" s="415">
        <f t="shared" si="6"/>
        <v>50.073198963481602</v>
      </c>
      <c r="O13" s="415">
        <f t="shared" si="7"/>
        <v>3.0730015598431266</v>
      </c>
      <c r="P13" s="416">
        <f t="shared" si="8"/>
        <v>10.092447909282855</v>
      </c>
      <c r="Q13" s="416">
        <f t="shared" si="9"/>
        <v>13.165449469125981</v>
      </c>
      <c r="R13" s="115">
        <f>VLOOKUP(A13,스마트금융!$A$5:$D$45,2,FALSE)</f>
        <v>3319</v>
      </c>
      <c r="S13" s="115">
        <f>VLOOKUP(A13,스마트금융!$A$5:$D$45,3,FALSE)</f>
        <v>3226</v>
      </c>
      <c r="T13" s="415">
        <f t="shared" si="10"/>
        <v>97.197951190117507</v>
      </c>
      <c r="U13" s="415">
        <f t="shared" si="11"/>
        <v>1.9180688507045602</v>
      </c>
      <c r="V13" s="416">
        <f t="shared" si="12"/>
        <v>9.5501859588146996</v>
      </c>
      <c r="W13" s="415">
        <f t="shared" si="13"/>
        <v>11.46825480951926</v>
      </c>
      <c r="X13" s="415">
        <f t="shared" si="14"/>
        <v>58.23720367460588</v>
      </c>
      <c r="Y13" s="460">
        <f t="shared" si="15"/>
        <v>28</v>
      </c>
      <c r="Z13" s="418"/>
    </row>
    <row r="14" spans="1:27">
      <c r="A14" s="132" t="s">
        <v>37</v>
      </c>
      <c r="B14" s="414">
        <f>VLOOKUP(A14,총수신고!$C$6:$I$45,2,FALSE)</f>
        <v>247075</v>
      </c>
      <c r="C14" s="414">
        <f>VLOOKUP(A14,총수신고!$C$6:$I$45,4,FALSE)</f>
        <v>268272.19089299999</v>
      </c>
      <c r="D14" s="415">
        <f t="shared" si="0"/>
        <v>108.57925362460792</v>
      </c>
      <c r="E14" s="416">
        <f t="shared" si="1"/>
        <v>9.1350135903534984</v>
      </c>
      <c r="F14" s="115">
        <f>VLOOKUP(A14,총수신고!$M$6:$U$45,2,FALSE)</f>
        <v>43423</v>
      </c>
      <c r="G14" s="115">
        <f>VLOOKUP(A14,총수신고!$M$6:$U$45,4,FALSE)</f>
        <v>43087.853062000002</v>
      </c>
      <c r="H14" s="415">
        <f t="shared" si="2"/>
        <v>99.22818106072819</v>
      </c>
      <c r="I14" s="415">
        <f t="shared" si="3"/>
        <v>6.7358266213278002</v>
      </c>
      <c r="J14" s="416">
        <f t="shared" si="4"/>
        <v>17.712893534686359</v>
      </c>
      <c r="K14" s="416">
        <f t="shared" si="5"/>
        <v>24.448720156014158</v>
      </c>
      <c r="L14" s="115">
        <f>VLOOKUP(A14,체크카드!$A$5:$D$44,2,FALSE)</f>
        <v>147071</v>
      </c>
      <c r="M14" s="115">
        <f>VLOOKUP(A14,체크카드!$A$5:$D$44,3,FALSE)</f>
        <v>73619.759000000005</v>
      </c>
      <c r="N14" s="415">
        <f t="shared" si="6"/>
        <v>50.057291376274051</v>
      </c>
      <c r="O14" s="415">
        <f t="shared" si="7"/>
        <v>3.8766975057447399</v>
      </c>
      <c r="P14" s="416">
        <f t="shared" si="8"/>
        <v>10.089241673240862</v>
      </c>
      <c r="Q14" s="416">
        <f t="shared" si="9"/>
        <v>13.965939178985602</v>
      </c>
      <c r="R14" s="115">
        <f>VLOOKUP(A14,스마트금융!$A$5:$D$45,2,FALSE)</f>
        <v>6589</v>
      </c>
      <c r="S14" s="115">
        <f>VLOOKUP(A14,스마트금융!$A$5:$D$45,3,FALSE)</f>
        <v>6402</v>
      </c>
      <c r="T14" s="415">
        <f t="shared" si="10"/>
        <v>97.16193656093489</v>
      </c>
      <c r="U14" s="415">
        <f t="shared" si="11"/>
        <v>3.8064094179202095</v>
      </c>
      <c r="V14" s="416">
        <f t="shared" si="12"/>
        <v>9.546647340955781</v>
      </c>
      <c r="W14" s="415">
        <f t="shared" si="13"/>
        <v>13.35305675887599</v>
      </c>
      <c r="X14" s="415">
        <f t="shared" si="14"/>
        <v>60.902729684229243</v>
      </c>
      <c r="Y14" s="460">
        <f t="shared" si="15"/>
        <v>23</v>
      </c>
      <c r="Z14" s="418"/>
    </row>
    <row r="15" spans="1:27">
      <c r="A15" s="132" t="s">
        <v>38</v>
      </c>
      <c r="B15" s="414">
        <f>VLOOKUP(A15,총수신고!$C$6:$I$45,2,FALSE)</f>
        <v>440866</v>
      </c>
      <c r="C15" s="414">
        <f>VLOOKUP(A15,총수신고!$C$6:$I$45,4,FALSE)</f>
        <v>452393.21272200003</v>
      </c>
      <c r="D15" s="415">
        <f t="shared" si="0"/>
        <v>102.61467491754865</v>
      </c>
      <c r="E15" s="416">
        <f t="shared" si="1"/>
        <v>8.633200345826177</v>
      </c>
      <c r="F15" s="115">
        <f>VLOOKUP(A15,총수신고!$M$6:$U$45,2,FALSE)</f>
        <v>81033</v>
      </c>
      <c r="G15" s="115">
        <f>VLOOKUP(A15,총수신고!$M$6:$U$45,4,FALSE)</f>
        <v>78125.132750999997</v>
      </c>
      <c r="H15" s="415">
        <f t="shared" si="2"/>
        <v>96.4115024138314</v>
      </c>
      <c r="I15" s="415">
        <f t="shared" si="3"/>
        <v>12.213125314499665</v>
      </c>
      <c r="J15" s="416">
        <f t="shared" si="4"/>
        <v>17.210097570268008</v>
      </c>
      <c r="K15" s="416">
        <f t="shared" si="5"/>
        <v>29.423222884767675</v>
      </c>
      <c r="L15" s="115">
        <f>VLOOKUP(A15,체크카드!$A$5:$D$44,2,FALSE)</f>
        <v>200655</v>
      </c>
      <c r="M15" s="115">
        <f>VLOOKUP(A15,체크카드!$A$5:$D$44,3,FALSE)</f>
        <v>105648.69500000001</v>
      </c>
      <c r="N15" s="415">
        <f t="shared" si="6"/>
        <v>52.651912486606363</v>
      </c>
      <c r="O15" s="415">
        <f t="shared" si="7"/>
        <v>5.5632895020980273</v>
      </c>
      <c r="P15" s="416">
        <f t="shared" si="8"/>
        <v>10.612197644547031</v>
      </c>
      <c r="Q15" s="416">
        <f t="shared" si="9"/>
        <v>16.175487146645057</v>
      </c>
      <c r="R15" s="115">
        <f>VLOOKUP(A15,스마트금융!$A$5:$D$45,2,FALSE)</f>
        <v>9960</v>
      </c>
      <c r="S15" s="115">
        <f>VLOOKUP(A15,스마트금융!$A$5:$D$45,3,FALSE)</f>
        <v>9763</v>
      </c>
      <c r="T15" s="415">
        <f t="shared" si="10"/>
        <v>98.02208835341365</v>
      </c>
      <c r="U15" s="415">
        <f t="shared" si="11"/>
        <v>5.8047446340448303</v>
      </c>
      <c r="V15" s="416">
        <f t="shared" si="12"/>
        <v>9.6311615665171022</v>
      </c>
      <c r="W15" s="415">
        <f t="shared" si="13"/>
        <v>15.435906200561933</v>
      </c>
      <c r="X15" s="415">
        <f t="shared" si="14"/>
        <v>69.667816577800835</v>
      </c>
      <c r="Y15" s="460">
        <f t="shared" si="15"/>
        <v>10</v>
      </c>
      <c r="Z15" s="418"/>
    </row>
    <row r="16" spans="1:27">
      <c r="A16" s="132" t="s">
        <v>39</v>
      </c>
      <c r="B16" s="414">
        <f>VLOOKUP(A16,총수신고!$C$6:$I$45,2,FALSE)</f>
        <v>354661</v>
      </c>
      <c r="C16" s="414">
        <f>VLOOKUP(A16,총수신고!$C$6:$I$45,4,FALSE)</f>
        <v>378428.31660100003</v>
      </c>
      <c r="D16" s="415">
        <f t="shared" si="0"/>
        <v>106.70141814324101</v>
      </c>
      <c r="E16" s="416">
        <f t="shared" si="1"/>
        <v>8.9770271236013723</v>
      </c>
      <c r="F16" s="115">
        <f>VLOOKUP(A16,총수신고!$M$6:$U$45,2,FALSE)</f>
        <v>88844</v>
      </c>
      <c r="G16" s="115">
        <f>VLOOKUP(A16,총수신고!$M$6:$U$45,4,FALSE)</f>
        <v>89468.126504999993</v>
      </c>
      <c r="H16" s="415">
        <f t="shared" si="2"/>
        <v>100.70249707914995</v>
      </c>
      <c r="I16" s="415">
        <f t="shared" si="3"/>
        <v>13.986349874651413</v>
      </c>
      <c r="J16" s="416">
        <f t="shared" si="4"/>
        <v>17.976068797919343</v>
      </c>
      <c r="K16" s="416">
        <f t="shared" si="5"/>
        <v>31.962418672570756</v>
      </c>
      <c r="L16" s="115">
        <f>VLOOKUP(A16,체크카드!$A$5:$D$44,2,FALSE)</f>
        <v>319800</v>
      </c>
      <c r="M16" s="115">
        <f>VLOOKUP(A16,체크카드!$A$5:$D$44,3,FALSE)</f>
        <v>155942.79699999999</v>
      </c>
      <c r="N16" s="415">
        <f t="shared" si="6"/>
        <v>48.762600687929954</v>
      </c>
      <c r="O16" s="415">
        <f t="shared" si="7"/>
        <v>8.2116956151507949</v>
      </c>
      <c r="P16" s="416">
        <f t="shared" si="8"/>
        <v>9.8282917319304257</v>
      </c>
      <c r="Q16" s="416">
        <f t="shared" si="9"/>
        <v>18.039987347081222</v>
      </c>
      <c r="R16" s="115">
        <f>VLOOKUP(A16,스마트금융!$A$5:$D$45,2,FALSE)</f>
        <v>10603</v>
      </c>
      <c r="S16" s="115">
        <f>VLOOKUP(A16,스마트금융!$A$5:$D$45,3,FALSE)</f>
        <v>10492</v>
      </c>
      <c r="T16" s="415">
        <f t="shared" si="10"/>
        <v>98.953126473639543</v>
      </c>
      <c r="U16" s="415">
        <f t="shared" si="11"/>
        <v>6.2381830073131574</v>
      </c>
      <c r="V16" s="416">
        <f t="shared" si="12"/>
        <v>9.7226407291335111</v>
      </c>
      <c r="W16" s="415">
        <f t="shared" si="13"/>
        <v>15.960823736446669</v>
      </c>
      <c r="X16" s="415">
        <f t="shared" si="14"/>
        <v>74.940256879700016</v>
      </c>
      <c r="Y16" s="460">
        <f t="shared" si="15"/>
        <v>6</v>
      </c>
      <c r="Z16" s="418"/>
    </row>
    <row r="17" spans="1:26">
      <c r="A17" s="132" t="s">
        <v>40</v>
      </c>
      <c r="B17" s="414">
        <f>VLOOKUP(A17,총수신고!$C$6:$I$45,2,FALSE)</f>
        <v>676977</v>
      </c>
      <c r="C17" s="414">
        <f>VLOOKUP(A17,총수신고!$C$6:$I$45,4,FALSE)</f>
        <v>804658.43486699997</v>
      </c>
      <c r="D17" s="415">
        <f t="shared" si="0"/>
        <v>118.86052773831311</v>
      </c>
      <c r="E17" s="416">
        <f t="shared" si="1"/>
        <v>10</v>
      </c>
      <c r="F17" s="115">
        <f>VLOOKUP(A17,총수신고!$M$6:$U$45,2,FALSE)</f>
        <v>70406</v>
      </c>
      <c r="G17" s="115">
        <f>VLOOKUP(A17,총수신고!$M$6:$U$45,4,FALSE)</f>
        <v>78883.320808999997</v>
      </c>
      <c r="H17" s="415">
        <f t="shared" si="2"/>
        <v>112.04062268698689</v>
      </c>
      <c r="I17" s="415">
        <f t="shared" si="3"/>
        <v>12.331651138882251</v>
      </c>
      <c r="J17" s="416">
        <f t="shared" si="4"/>
        <v>20</v>
      </c>
      <c r="K17" s="416">
        <f t="shared" si="5"/>
        <v>32.331651138882251</v>
      </c>
      <c r="L17" s="115">
        <f>VLOOKUP(A17,체크카드!$A$5:$D$44,2,FALSE)</f>
        <v>169310</v>
      </c>
      <c r="M17" s="115">
        <f>VLOOKUP(A17,체크카드!$A$5:$D$44,3,FALSE)</f>
        <v>92933.096999999994</v>
      </c>
      <c r="N17" s="415">
        <f t="shared" si="6"/>
        <v>54.889313684956583</v>
      </c>
      <c r="O17" s="415">
        <f t="shared" si="7"/>
        <v>4.8937066656389616</v>
      </c>
      <c r="P17" s="416">
        <f t="shared" si="8"/>
        <v>11.063154553910557</v>
      </c>
      <c r="Q17" s="416">
        <f t="shared" si="9"/>
        <v>15.95686121954952</v>
      </c>
      <c r="R17" s="115">
        <f>VLOOKUP(A17,스마트금융!$A$5:$D$45,2,FALSE)</f>
        <v>7629</v>
      </c>
      <c r="S17" s="115">
        <f>VLOOKUP(A17,스마트금융!$A$5:$D$45,3,FALSE)</f>
        <v>7392</v>
      </c>
      <c r="T17" s="415">
        <f t="shared" si="10"/>
        <v>96.893432953204865</v>
      </c>
      <c r="U17" s="415">
        <f t="shared" si="11"/>
        <v>4.3950294310006539</v>
      </c>
      <c r="V17" s="416">
        <f t="shared" si="12"/>
        <v>9.5202655154848017</v>
      </c>
      <c r="W17" s="415">
        <f t="shared" si="13"/>
        <v>13.915294946485457</v>
      </c>
      <c r="X17" s="415">
        <f t="shared" si="14"/>
        <v>72.203807304917234</v>
      </c>
      <c r="Y17" s="460">
        <f t="shared" si="15"/>
        <v>8</v>
      </c>
      <c r="Z17" s="418"/>
    </row>
    <row r="18" spans="1:26">
      <c r="A18" s="132" t="s">
        <v>41</v>
      </c>
      <c r="B18" s="414">
        <f>VLOOKUP(A18,총수신고!$C$6:$I$45,2,FALSE)</f>
        <v>434890</v>
      </c>
      <c r="C18" s="414">
        <f>VLOOKUP(A18,총수신고!$C$6:$I$45,4,FALSE)</f>
        <v>461871.71724099998</v>
      </c>
      <c r="D18" s="415">
        <f t="shared" si="0"/>
        <v>106.20426251258938</v>
      </c>
      <c r="E18" s="416">
        <f t="shared" si="1"/>
        <v>8.9352003169977401</v>
      </c>
      <c r="F18" s="115">
        <f>VLOOKUP(A18,총수신고!$M$6:$U$45,2,FALSE)</f>
        <v>103016</v>
      </c>
      <c r="G18" s="115">
        <f>VLOOKUP(A18,총수신고!$M$6:$U$45,4,FALSE)</f>
        <v>105215.500635</v>
      </c>
      <c r="H18" s="415">
        <f t="shared" si="2"/>
        <v>102.13510584278171</v>
      </c>
      <c r="I18" s="415">
        <f t="shared" si="3"/>
        <v>16.448101257999156</v>
      </c>
      <c r="J18" s="416">
        <f t="shared" si="4"/>
        <v>18.231799037411871</v>
      </c>
      <c r="K18" s="416">
        <f t="shared" si="5"/>
        <v>34.679900295411031</v>
      </c>
      <c r="L18" s="115">
        <f>VLOOKUP(A18,체크카드!$A$5:$D$44,2,FALSE)</f>
        <v>375649</v>
      </c>
      <c r="M18" s="115">
        <f>VLOOKUP(A18,체크카드!$A$5:$D$44,3,FALSE)</f>
        <v>187597.43100000001</v>
      </c>
      <c r="N18" s="415">
        <f t="shared" si="6"/>
        <v>49.939552880481514</v>
      </c>
      <c r="O18" s="415">
        <f t="shared" si="7"/>
        <v>9.878577473227276</v>
      </c>
      <c r="P18" s="416">
        <f t="shared" si="8"/>
        <v>10.065511021708691</v>
      </c>
      <c r="Q18" s="416">
        <f t="shared" si="9"/>
        <v>19.944088494935968</v>
      </c>
      <c r="R18" s="115">
        <f>VLOOKUP(A18,스마트금융!$A$5:$D$45,2,FALSE)</f>
        <v>15679</v>
      </c>
      <c r="S18" s="115">
        <f>VLOOKUP(A18,스마트금융!$A$5:$D$45,3,FALSE)</f>
        <v>15720</v>
      </c>
      <c r="T18" s="415">
        <f t="shared" si="10"/>
        <v>100.26149626889469</v>
      </c>
      <c r="U18" s="415">
        <f t="shared" si="11"/>
        <v>9.3465723289137284</v>
      </c>
      <c r="V18" s="416">
        <f t="shared" si="12"/>
        <v>9.8511946203893324</v>
      </c>
      <c r="W18" s="415">
        <f t="shared" si="13"/>
        <v>19.197766949303059</v>
      </c>
      <c r="X18" s="415">
        <f t="shared" si="14"/>
        <v>82.756956056647795</v>
      </c>
      <c r="Y18" s="460">
        <f t="shared" si="15"/>
        <v>3</v>
      </c>
      <c r="Z18" s="418"/>
    </row>
    <row r="19" spans="1:26">
      <c r="A19" s="132" t="s">
        <v>42</v>
      </c>
      <c r="B19" s="414">
        <f>VLOOKUP(A19,총수신고!$C$6:$I$45,2,FALSE)</f>
        <v>311482</v>
      </c>
      <c r="C19" s="414">
        <f>VLOOKUP(A19,총수신고!$C$6:$I$45,4,FALSE)</f>
        <v>330344.58960399998</v>
      </c>
      <c r="D19" s="415">
        <f t="shared" si="0"/>
        <v>106.05575590371193</v>
      </c>
      <c r="E19" s="416">
        <f t="shared" si="1"/>
        <v>8.9227061263944112</v>
      </c>
      <c r="F19" s="115">
        <f>VLOOKUP(A19,총수신고!$M$6:$U$45,2,FALSE)</f>
        <v>88189</v>
      </c>
      <c r="G19" s="115">
        <f>VLOOKUP(A19,총수신고!$M$6:$U$45,4,FALSE)</f>
        <v>87545.718449000007</v>
      </c>
      <c r="H19" s="415">
        <f t="shared" si="2"/>
        <v>99.270564865232629</v>
      </c>
      <c r="I19" s="415">
        <f t="shared" si="3"/>
        <v>13.685824170991333</v>
      </c>
      <c r="J19" s="416">
        <f t="shared" si="4"/>
        <v>17.720459327072724</v>
      </c>
      <c r="K19" s="416">
        <f t="shared" si="5"/>
        <v>31.406283498064056</v>
      </c>
      <c r="L19" s="115">
        <f>VLOOKUP(A19,체크카드!$A$5:$D$44,2,FALSE)</f>
        <v>492000</v>
      </c>
      <c r="M19" s="115">
        <f>VLOOKUP(A19,체크카드!$A$5:$D$44,3,FALSE)</f>
        <v>284854.92700000003</v>
      </c>
      <c r="N19" s="415">
        <f t="shared" si="6"/>
        <v>57.897342886178869</v>
      </c>
      <c r="O19" s="415">
        <f t="shared" si="7"/>
        <v>15</v>
      </c>
      <c r="P19" s="416">
        <f t="shared" si="8"/>
        <v>11.669434533048259</v>
      </c>
      <c r="Q19" s="416">
        <f t="shared" si="9"/>
        <v>26.669434533048261</v>
      </c>
      <c r="R19" s="115">
        <f>VLOOKUP(A19,스마트금융!$A$5:$D$45,2,FALSE)</f>
        <v>14498</v>
      </c>
      <c r="S19" s="115">
        <f>VLOOKUP(A19,스마트금융!$A$5:$D$45,3,FALSE)</f>
        <v>13966</v>
      </c>
      <c r="T19" s="415">
        <f t="shared" si="10"/>
        <v>96.330528348737758</v>
      </c>
      <c r="U19" s="415">
        <f t="shared" si="11"/>
        <v>8.3037041441227188</v>
      </c>
      <c r="V19" s="416">
        <f t="shared" si="12"/>
        <v>9.4649573162490075</v>
      </c>
      <c r="W19" s="415">
        <f t="shared" si="13"/>
        <v>17.768661460371725</v>
      </c>
      <c r="X19" s="415">
        <f t="shared" si="14"/>
        <v>84.76708561787845</v>
      </c>
      <c r="Y19" s="460">
        <f t="shared" si="15"/>
        <v>2</v>
      </c>
      <c r="Z19" s="418"/>
    </row>
    <row r="20" spans="1:26">
      <c r="A20" s="132" t="s">
        <v>43</v>
      </c>
      <c r="B20" s="414">
        <f>VLOOKUP(A20,총수신고!$C$6:$I$45,2,FALSE)</f>
        <v>294194</v>
      </c>
      <c r="C20" s="414">
        <f>VLOOKUP(A20,총수신고!$C$6:$I$45,4,FALSE)</f>
        <v>318628.69283399999</v>
      </c>
      <c r="D20" s="415">
        <f t="shared" si="0"/>
        <v>108.30563941956667</v>
      </c>
      <c r="E20" s="416">
        <f t="shared" si="1"/>
        <v>9.1119938200186699</v>
      </c>
      <c r="F20" s="115">
        <f>VLOOKUP(A20,총수신고!$M$6:$U$45,2,FALSE)</f>
        <v>50574</v>
      </c>
      <c r="G20" s="115">
        <f>VLOOKUP(A20,총수신고!$M$6:$U$45,4,FALSE)</f>
        <v>54749.740362999997</v>
      </c>
      <c r="H20" s="415">
        <f t="shared" si="2"/>
        <v>108.25669388025467</v>
      </c>
      <c r="I20" s="415">
        <f t="shared" si="3"/>
        <v>8.5589030884697017</v>
      </c>
      <c r="J20" s="416">
        <f t="shared" si="4"/>
        <v>19.324543417202605</v>
      </c>
      <c r="K20" s="416">
        <f t="shared" si="5"/>
        <v>27.883446505672307</v>
      </c>
      <c r="L20" s="115">
        <f>VLOOKUP(A20,체크카드!$A$5:$D$44,2,FALSE)</f>
        <v>210662</v>
      </c>
      <c r="M20" s="115">
        <f>VLOOKUP(A20,체크카드!$A$5:$D$44,3,FALSE)</f>
        <v>103312.95299999999</v>
      </c>
      <c r="N20" s="415">
        <f t="shared" si="6"/>
        <v>49.042045076947907</v>
      </c>
      <c r="O20" s="415">
        <f t="shared" si="7"/>
        <v>5.4402931040051827</v>
      </c>
      <c r="P20" s="416">
        <f t="shared" si="8"/>
        <v>9.8846148348694225</v>
      </c>
      <c r="Q20" s="416">
        <f t="shared" si="9"/>
        <v>15.324907938874606</v>
      </c>
      <c r="R20" s="115">
        <f>VLOOKUP(A20,스마트금융!$A$5:$D$45,2,FALSE)</f>
        <v>8647</v>
      </c>
      <c r="S20" s="115">
        <f>VLOOKUP(A20,스마트금융!$A$5:$D$45,3,FALSE)</f>
        <v>8421</v>
      </c>
      <c r="T20" s="415">
        <f t="shared" si="10"/>
        <v>97.386376778073327</v>
      </c>
      <c r="U20" s="415">
        <f t="shared" si="11"/>
        <v>5.0068375052024496</v>
      </c>
      <c r="V20" s="416">
        <f t="shared" si="12"/>
        <v>9.5686997174108797</v>
      </c>
      <c r="W20" s="415">
        <f t="shared" si="13"/>
        <v>14.575537222613329</v>
      </c>
      <c r="X20" s="415">
        <f t="shared" si="14"/>
        <v>66.895885487178916</v>
      </c>
      <c r="Y20" s="460">
        <f t="shared" si="15"/>
        <v>13</v>
      </c>
      <c r="Z20" s="418"/>
    </row>
    <row r="21" spans="1:26">
      <c r="A21" s="132" t="s">
        <v>44</v>
      </c>
      <c r="B21" s="414">
        <f>VLOOKUP(A21,총수신고!$C$6:$I$45,2,FALSE)</f>
        <v>245473</v>
      </c>
      <c r="C21" s="414">
        <f>VLOOKUP(A21,총수신고!$C$6:$I$45,4,FALSE)</f>
        <v>261445.68440599999</v>
      </c>
      <c r="D21" s="415">
        <f t="shared" si="0"/>
        <v>106.50690072064953</v>
      </c>
      <c r="E21" s="416">
        <f t="shared" si="1"/>
        <v>8.9606619411229875</v>
      </c>
      <c r="F21" s="115">
        <f>VLOOKUP(A21,총수신고!$M$6:$U$45,2,FALSE)</f>
        <v>51645</v>
      </c>
      <c r="G21" s="115">
        <f>VLOOKUP(A21,총수신고!$M$6:$U$45,4,FALSE)</f>
        <v>48725.054067999998</v>
      </c>
      <c r="H21" s="415">
        <f t="shared" si="2"/>
        <v>94.346120762900568</v>
      </c>
      <c r="I21" s="415">
        <f t="shared" si="3"/>
        <v>7.6170775054540769</v>
      </c>
      <c r="J21" s="416">
        <f t="shared" si="4"/>
        <v>16.841413141103246</v>
      </c>
      <c r="K21" s="416">
        <f t="shared" si="5"/>
        <v>24.458490646557323</v>
      </c>
      <c r="L21" s="115">
        <f>VLOOKUP(A21,체크카드!$A$5:$D$44,2,FALSE)</f>
        <v>189351</v>
      </c>
      <c r="M21" s="115">
        <f>VLOOKUP(A21,체크카드!$A$5:$D$44,3,FALSE)</f>
        <v>97037.941000000006</v>
      </c>
      <c r="N21" s="415">
        <f t="shared" si="6"/>
        <v>51.247651715596966</v>
      </c>
      <c r="O21" s="415">
        <f t="shared" si="7"/>
        <v>5.1098611153740015</v>
      </c>
      <c r="P21" s="416">
        <f t="shared" si="8"/>
        <v>10.329163427124699</v>
      </c>
      <c r="Q21" s="416">
        <f t="shared" si="9"/>
        <v>15.4390245424987</v>
      </c>
      <c r="R21" s="115">
        <f>VLOOKUP(A21,스마트금융!$A$5:$D$45,2,FALSE)</f>
        <v>6985</v>
      </c>
      <c r="S21" s="115">
        <f>VLOOKUP(A21,스마트금융!$A$5:$D$45,3,FALSE)</f>
        <v>6859</v>
      </c>
      <c r="T21" s="415">
        <f t="shared" si="10"/>
        <v>98.196134574087338</v>
      </c>
      <c r="U21" s="415">
        <f t="shared" si="11"/>
        <v>4.0781259290088592</v>
      </c>
      <c r="V21" s="416">
        <f t="shared" si="12"/>
        <v>9.6482624801938872</v>
      </c>
      <c r="W21" s="415">
        <f t="shared" si="13"/>
        <v>13.726388409202746</v>
      </c>
      <c r="X21" s="415">
        <f t="shared" si="14"/>
        <v>62.584565539381757</v>
      </c>
      <c r="Y21" s="460">
        <f t="shared" si="15"/>
        <v>19</v>
      </c>
      <c r="Z21" s="418"/>
    </row>
    <row r="22" spans="1:26">
      <c r="A22" s="132" t="s">
        <v>45</v>
      </c>
      <c r="B22" s="414">
        <f>VLOOKUP(A22,총수신고!$C$6:$I$45,2,FALSE)</f>
        <v>147268</v>
      </c>
      <c r="C22" s="414">
        <f>VLOOKUP(A22,총수신고!$C$6:$I$45,4,FALSE)</f>
        <v>154069.27998299999</v>
      </c>
      <c r="D22" s="415">
        <f t="shared" si="0"/>
        <v>104.61830131664721</v>
      </c>
      <c r="E22" s="416">
        <f t="shared" si="1"/>
        <v>8.8017698816698822</v>
      </c>
      <c r="F22" s="115">
        <f>VLOOKUP(A22,총수신고!$M$6:$U$45,2,FALSE)</f>
        <v>48945</v>
      </c>
      <c r="G22" s="115">
        <f>VLOOKUP(A22,총수신고!$M$6:$U$45,4,FALSE)</f>
        <v>47470.035056000001</v>
      </c>
      <c r="H22" s="415">
        <f t="shared" si="2"/>
        <v>96.986484944325269</v>
      </c>
      <c r="I22" s="415">
        <f t="shared" si="3"/>
        <v>7.4208832216697802</v>
      </c>
      <c r="J22" s="416">
        <f t="shared" si="4"/>
        <v>17.312735794994808</v>
      </c>
      <c r="K22" s="416">
        <f t="shared" si="5"/>
        <v>24.733619016664587</v>
      </c>
      <c r="L22" s="115">
        <f>VLOOKUP(A22,체크카드!$A$5:$D$44,2,FALSE)</f>
        <v>273983</v>
      </c>
      <c r="M22" s="115">
        <f>VLOOKUP(A22,체크카드!$A$5:$D$44,3,FALSE)</f>
        <v>133372.21</v>
      </c>
      <c r="N22" s="415">
        <f t="shared" si="6"/>
        <v>48.679009281597764</v>
      </c>
      <c r="O22" s="415">
        <f t="shared" si="7"/>
        <v>7.0231649881204259</v>
      </c>
      <c r="P22" s="416">
        <f t="shared" si="8"/>
        <v>9.8114435590248625</v>
      </c>
      <c r="Q22" s="416">
        <f t="shared" si="9"/>
        <v>16.834608547145287</v>
      </c>
      <c r="R22" s="115">
        <f>VLOOKUP(A22,스마트금융!$A$5:$D$45,2,FALSE)</f>
        <v>8275</v>
      </c>
      <c r="S22" s="115">
        <f>VLOOKUP(A22,스마트금융!$A$5:$D$45,3,FALSE)</f>
        <v>8110</v>
      </c>
      <c r="T22" s="415">
        <f t="shared" si="10"/>
        <v>98.006042296072508</v>
      </c>
      <c r="U22" s="415">
        <f t="shared" si="11"/>
        <v>4.8219275819014209</v>
      </c>
      <c r="V22" s="416">
        <f t="shared" si="12"/>
        <v>9.6295849609442747</v>
      </c>
      <c r="W22" s="415">
        <f t="shared" si="13"/>
        <v>14.451512542845695</v>
      </c>
      <c r="X22" s="415">
        <f t="shared" si="14"/>
        <v>64.821509988325445</v>
      </c>
      <c r="Y22" s="460">
        <f t="shared" si="15"/>
        <v>15</v>
      </c>
      <c r="Z22" s="418"/>
    </row>
    <row r="23" spans="1:26">
      <c r="A23" s="132" t="s">
        <v>46</v>
      </c>
      <c r="B23" s="414">
        <f>VLOOKUP(A23,총수신고!$C$6:$I$45,2,FALSE)</f>
        <v>215956</v>
      </c>
      <c r="C23" s="414">
        <f>VLOOKUP(A23,총수신고!$C$6:$I$45,4,FALSE)</f>
        <v>226206.78490999999</v>
      </c>
      <c r="D23" s="415">
        <f t="shared" si="0"/>
        <v>104.74670067513752</v>
      </c>
      <c r="E23" s="416">
        <f t="shared" si="1"/>
        <v>8.8125724046717178</v>
      </c>
      <c r="F23" s="115">
        <f>VLOOKUP(A23,총수신고!$M$6:$U$45,2,FALSE)</f>
        <v>47487</v>
      </c>
      <c r="G23" s="115">
        <f>VLOOKUP(A23,총수신고!$M$6:$U$45,4,FALSE)</f>
        <v>45117.917862000002</v>
      </c>
      <c r="H23" s="415">
        <f t="shared" si="2"/>
        <v>95.011093271842824</v>
      </c>
      <c r="I23" s="415">
        <f t="shared" si="3"/>
        <v>7.0531820602999957</v>
      </c>
      <c r="J23" s="416">
        <f t="shared" si="4"/>
        <v>16.960115178452682</v>
      </c>
      <c r="K23" s="416">
        <f t="shared" si="5"/>
        <v>24.013297238752678</v>
      </c>
      <c r="L23" s="115">
        <f>VLOOKUP(A23,체크카드!$A$5:$D$44,2,FALSE)</f>
        <v>146150</v>
      </c>
      <c r="M23" s="115">
        <f>VLOOKUP(A23,체크카드!$A$5:$D$44,3,FALSE)</f>
        <v>88721.324999999997</v>
      </c>
      <c r="N23" s="415">
        <f t="shared" si="6"/>
        <v>60.705661991105032</v>
      </c>
      <c r="O23" s="415">
        <f t="shared" si="7"/>
        <v>4.6719215602684656</v>
      </c>
      <c r="P23" s="416">
        <f t="shared" si="8"/>
        <v>12.235462165909935</v>
      </c>
      <c r="Q23" s="416">
        <f t="shared" si="9"/>
        <v>16.907383726178402</v>
      </c>
      <c r="R23" s="115">
        <f>VLOOKUP(A23,스마트금융!$A$5:$D$45,2,FALSE)</f>
        <v>6595</v>
      </c>
      <c r="S23" s="115">
        <f>VLOOKUP(A23,스마트금융!$A$5:$D$45,3,FALSE)</f>
        <v>6570</v>
      </c>
      <c r="T23" s="415">
        <f t="shared" si="10"/>
        <v>99.620924943138746</v>
      </c>
      <c r="U23" s="415">
        <f t="shared" si="11"/>
        <v>3.9062964504429516</v>
      </c>
      <c r="V23" s="416">
        <f t="shared" si="12"/>
        <v>9.7882552764427917</v>
      </c>
      <c r="W23" s="415">
        <f t="shared" si="13"/>
        <v>13.694551726885743</v>
      </c>
      <c r="X23" s="415">
        <f t="shared" si="14"/>
        <v>63.427805096488541</v>
      </c>
      <c r="Y23" s="460">
        <f t="shared" si="15"/>
        <v>16</v>
      </c>
      <c r="Z23" s="418"/>
    </row>
    <row r="24" spans="1:26">
      <c r="A24" s="132" t="s">
        <v>47</v>
      </c>
      <c r="B24" s="414">
        <f>VLOOKUP(A24,총수신고!$C$6:$I$45,2,FALSE)</f>
        <v>288449</v>
      </c>
      <c r="C24" s="414">
        <f>VLOOKUP(A24,총수신고!$C$6:$I$45,4,FALSE)</f>
        <v>304217.31595399999</v>
      </c>
      <c r="D24" s="415">
        <f t="shared" si="0"/>
        <v>105.46658714504122</v>
      </c>
      <c r="E24" s="416">
        <f t="shared" si="1"/>
        <v>8.8731380511148004</v>
      </c>
      <c r="F24" s="115">
        <f>VLOOKUP(A24,총수신고!$M$6:$U$45,2,FALSE)</f>
        <v>35050</v>
      </c>
      <c r="G24" s="115">
        <f>VLOOKUP(A24,총수신고!$M$6:$U$45,4,FALSE)</f>
        <v>38254.644263000002</v>
      </c>
      <c r="H24" s="415">
        <f t="shared" si="2"/>
        <v>109.14306494436521</v>
      </c>
      <c r="I24" s="415">
        <f t="shared" si="3"/>
        <v>5.980262020606224</v>
      </c>
      <c r="J24" s="416">
        <f t="shared" si="4"/>
        <v>19.482766576419923</v>
      </c>
      <c r="K24" s="416">
        <f t="shared" si="5"/>
        <v>25.463028597026145</v>
      </c>
      <c r="L24" s="115">
        <f>VLOOKUP(A24,체크카드!$A$5:$D$44,2,FALSE)</f>
        <v>137370</v>
      </c>
      <c r="M24" s="115">
        <f>VLOOKUP(A24,체크카드!$A$5:$D$44,3,FALSE)</f>
        <v>68225.402000000002</v>
      </c>
      <c r="N24" s="415">
        <f t="shared" si="6"/>
        <v>49.665430588920437</v>
      </c>
      <c r="O24" s="415">
        <f t="shared" si="7"/>
        <v>3.5926393858723742</v>
      </c>
      <c r="P24" s="416">
        <f t="shared" si="8"/>
        <v>10.010260608201635</v>
      </c>
      <c r="Q24" s="416">
        <f t="shared" si="9"/>
        <v>13.60289999407401</v>
      </c>
      <c r="R24" s="115">
        <f>VLOOKUP(A24,스마트금융!$A$5:$D$45,2,FALSE)</f>
        <v>7267</v>
      </c>
      <c r="S24" s="115">
        <f>VLOOKUP(A24,스마트금융!$A$5:$D$45,3,FALSE)</f>
        <v>7164</v>
      </c>
      <c r="T24" s="415">
        <f t="shared" si="10"/>
        <v>98.582633824136508</v>
      </c>
      <c r="U24" s="415">
        <f t="shared" si="11"/>
        <v>4.2594684582912183</v>
      </c>
      <c r="V24" s="416">
        <f t="shared" si="12"/>
        <v>9.68623796903616</v>
      </c>
      <c r="W24" s="415">
        <f t="shared" si="13"/>
        <v>13.945706427327378</v>
      </c>
      <c r="X24" s="415">
        <f t="shared" si="14"/>
        <v>61.884773069542334</v>
      </c>
      <c r="Y24" s="460">
        <f t="shared" si="15"/>
        <v>22</v>
      </c>
      <c r="Z24" s="418"/>
    </row>
    <row r="25" spans="1:26">
      <c r="A25" s="132" t="s">
        <v>90</v>
      </c>
      <c r="B25" s="414">
        <f>VLOOKUP(A25,총수신고!$C$6:$I$45,2,FALSE)</f>
        <v>173602</v>
      </c>
      <c r="C25" s="414">
        <f>VLOOKUP(A25,총수신고!$C$6:$I$45,4,FALSE)</f>
        <v>180191.37622400001</v>
      </c>
      <c r="D25" s="415">
        <f t="shared" si="0"/>
        <v>103.79567990230527</v>
      </c>
      <c r="E25" s="416">
        <f t="shared" si="1"/>
        <v>8.7325609163392688</v>
      </c>
      <c r="F25" s="115">
        <f>VLOOKUP(A25,총수신고!$M$6:$U$45,2,FALSE)</f>
        <v>39956</v>
      </c>
      <c r="G25" s="115">
        <f>VLOOKUP(A25,총수신고!$M$6:$U$45,4,FALSE)</f>
        <v>39064.390805000003</v>
      </c>
      <c r="H25" s="415">
        <f t="shared" si="2"/>
        <v>97.768522387125842</v>
      </c>
      <c r="I25" s="415">
        <f t="shared" si="3"/>
        <v>6.1068478661874233</v>
      </c>
      <c r="J25" s="416">
        <f t="shared" si="4"/>
        <v>17.452334705469518</v>
      </c>
      <c r="K25" s="416">
        <f t="shared" si="5"/>
        <v>23.55918257165694</v>
      </c>
      <c r="L25" s="115">
        <f>VLOOKUP(A25,체크카드!$A$5:$D$44,2,FALSE)</f>
        <v>216281</v>
      </c>
      <c r="M25" s="115">
        <f>VLOOKUP(A25,체크카드!$A$5:$D$44,3,FALSE)</f>
        <v>109722.075</v>
      </c>
      <c r="N25" s="415">
        <f t="shared" si="6"/>
        <v>50.731259333922075</v>
      </c>
      <c r="O25" s="415">
        <f t="shared" si="7"/>
        <v>5.7777871084532793</v>
      </c>
      <c r="P25" s="416">
        <f t="shared" si="8"/>
        <v>10.225082535136847</v>
      </c>
      <c r="Q25" s="416">
        <f t="shared" si="9"/>
        <v>16.002869643590127</v>
      </c>
      <c r="R25" s="115">
        <f>VLOOKUP(A25,스마트금융!$A$5:$D$45,2,FALSE)</f>
        <v>8763</v>
      </c>
      <c r="S25" s="115">
        <f>VLOOKUP(A25,스마트금융!$A$5:$D$45,3,FALSE)</f>
        <v>8745</v>
      </c>
      <c r="T25" s="415">
        <f t="shared" si="10"/>
        <v>99.794590893529616</v>
      </c>
      <c r="U25" s="415">
        <f t="shared" si="11"/>
        <v>5.1994767822105947</v>
      </c>
      <c r="V25" s="416">
        <f t="shared" si="12"/>
        <v>9.8053188266579934</v>
      </c>
      <c r="W25" s="415">
        <f t="shared" si="13"/>
        <v>15.004795608868587</v>
      </c>
      <c r="X25" s="415">
        <f t="shared" si="14"/>
        <v>63.299408740454922</v>
      </c>
      <c r="Y25" s="460">
        <f t="shared" si="15"/>
        <v>17</v>
      </c>
      <c r="Z25" s="418"/>
    </row>
    <row r="26" spans="1:26">
      <c r="A26" s="132" t="s">
        <v>91</v>
      </c>
      <c r="B26" s="414">
        <f>VLOOKUP(A26,총수신고!$C$6:$I$45,2,FALSE)</f>
        <v>140465</v>
      </c>
      <c r="C26" s="414">
        <f>VLOOKUP(A26,총수신고!$C$6:$I$45,4,FALSE)</f>
        <v>152820.093441</v>
      </c>
      <c r="D26" s="415">
        <f t="shared" si="0"/>
        <v>108.79585194959598</v>
      </c>
      <c r="E26" s="416">
        <f t="shared" si="1"/>
        <v>9.1532364881572938</v>
      </c>
      <c r="F26" s="115">
        <f>VLOOKUP(A26,총수신고!$M$6:$U$45,2,FALSE)</f>
        <v>37380</v>
      </c>
      <c r="G26" s="115">
        <f>VLOOKUP(A26,총수신고!$M$6:$U$45,4,FALSE)</f>
        <v>35712.409793999999</v>
      </c>
      <c r="H26" s="415">
        <f t="shared" si="2"/>
        <v>95.538816998394864</v>
      </c>
      <c r="I26" s="415">
        <f t="shared" si="3"/>
        <v>5.5828402556065333</v>
      </c>
      <c r="J26" s="416">
        <f t="shared" si="4"/>
        <v>17.054317390810315</v>
      </c>
      <c r="K26" s="416">
        <f t="shared" si="5"/>
        <v>22.637157646416849</v>
      </c>
      <c r="L26" s="115">
        <f>VLOOKUP(A26,체크카드!$A$5:$D$44,2,FALSE)</f>
        <v>193481</v>
      </c>
      <c r="M26" s="115">
        <f>VLOOKUP(A26,체크카드!$A$5:$D$44,3,FALSE)</f>
        <v>95123.115999999995</v>
      </c>
      <c r="N26" s="415">
        <f t="shared" si="6"/>
        <v>49.164060553749458</v>
      </c>
      <c r="O26" s="415">
        <f t="shared" si="7"/>
        <v>5.0090295261068096</v>
      </c>
      <c r="P26" s="416">
        <f t="shared" si="8"/>
        <v>9.909207528550608</v>
      </c>
      <c r="Q26" s="416">
        <f t="shared" si="9"/>
        <v>14.918237054657418</v>
      </c>
      <c r="R26" s="115">
        <f>VLOOKUP(A26,스마트금융!$A$5:$D$45,2,FALSE)</f>
        <v>6419</v>
      </c>
      <c r="S26" s="115">
        <f>VLOOKUP(A26,스마트금융!$A$5:$D$45,3,FALSE)</f>
        <v>6533</v>
      </c>
      <c r="T26" s="415">
        <f t="shared" si="10"/>
        <v>101.77597756659915</v>
      </c>
      <c r="U26" s="415">
        <f t="shared" si="11"/>
        <v>3.884297520661157</v>
      </c>
      <c r="V26" s="416">
        <f t="shared" si="12"/>
        <v>10</v>
      </c>
      <c r="W26" s="415">
        <f t="shared" si="13"/>
        <v>13.884297520661157</v>
      </c>
      <c r="X26" s="415">
        <f t="shared" si="14"/>
        <v>60.592928709892718</v>
      </c>
      <c r="Y26" s="460">
        <f t="shared" si="15"/>
        <v>25</v>
      </c>
      <c r="Z26" s="418"/>
    </row>
    <row r="27" spans="1:26">
      <c r="A27" s="132" t="s">
        <v>92</v>
      </c>
      <c r="B27" s="414">
        <f>VLOOKUP(A27,총수신고!$C$6:$I$45,2,FALSE)</f>
        <v>364169</v>
      </c>
      <c r="C27" s="414">
        <f>VLOOKUP(A27,총수신고!$C$6:$I$45,4,FALSE)</f>
        <v>385837.57888500002</v>
      </c>
      <c r="D27" s="415">
        <f t="shared" si="0"/>
        <v>105.9501437203606</v>
      </c>
      <c r="E27" s="416">
        <f t="shared" si="1"/>
        <v>8.9138207390113227</v>
      </c>
      <c r="F27" s="115">
        <f>VLOOKUP(A27,총수신고!$M$6:$U$45,2,FALSE)</f>
        <v>85242</v>
      </c>
      <c r="G27" s="115">
        <f>VLOOKUP(A27,총수신고!$M$6:$U$45,4,FALSE)</f>
        <v>85783.332934999999</v>
      </c>
      <c r="H27" s="415">
        <f t="shared" si="2"/>
        <v>100.63505423969406</v>
      </c>
      <c r="I27" s="415">
        <f t="shared" si="3"/>
        <v>13.410314429413768</v>
      </c>
      <c r="J27" s="416">
        <f t="shared" si="4"/>
        <v>17.964029800306072</v>
      </c>
      <c r="K27" s="416">
        <f t="shared" si="5"/>
        <v>31.374344229719838</v>
      </c>
      <c r="L27" s="115">
        <f>VLOOKUP(A27,체크카드!$A$5:$D$44,2,FALSE)</f>
        <v>370979</v>
      </c>
      <c r="M27" s="115">
        <f>VLOOKUP(A27,체크카드!$A$5:$D$44,3,FALSE)</f>
        <v>188527.18599999999</v>
      </c>
      <c r="N27" s="415">
        <f t="shared" si="6"/>
        <v>50.818829637257089</v>
      </c>
      <c r="O27" s="415">
        <f t="shared" si="7"/>
        <v>9.9275368686180379</v>
      </c>
      <c r="P27" s="416">
        <f t="shared" si="8"/>
        <v>10.242732670201182</v>
      </c>
      <c r="Q27" s="416">
        <f t="shared" si="9"/>
        <v>20.17026953881922</v>
      </c>
      <c r="R27" s="115">
        <f>VLOOKUP(A27,스마트금융!$A$5:$D$45,2,FALSE)</f>
        <v>10119</v>
      </c>
      <c r="S27" s="115">
        <f>VLOOKUP(A27,스마트금융!$A$5:$D$45,3,FALSE)</f>
        <v>9936</v>
      </c>
      <c r="T27" s="415">
        <f t="shared" si="10"/>
        <v>98.191520901274828</v>
      </c>
      <c r="U27" s="415">
        <f t="shared" si="11"/>
        <v>5.9076044949164634</v>
      </c>
      <c r="V27" s="416">
        <f t="shared" si="12"/>
        <v>9.647809163711667</v>
      </c>
      <c r="W27" s="415">
        <f t="shared" si="13"/>
        <v>15.55541365862813</v>
      </c>
      <c r="X27" s="415">
        <f t="shared" si="14"/>
        <v>76.013848166178505</v>
      </c>
      <c r="Y27" s="460">
        <f t="shared" si="15"/>
        <v>5</v>
      </c>
      <c r="Z27" s="418"/>
    </row>
    <row r="28" spans="1:26">
      <c r="A28" s="132" t="s">
        <v>93</v>
      </c>
      <c r="B28" s="414">
        <f>VLOOKUP(A28,총수신고!$C$6:$I$45,2,FALSE)</f>
        <v>195824</v>
      </c>
      <c r="C28" s="414">
        <f>VLOOKUP(A28,총수신고!$C$6:$I$45,4,FALSE)</f>
        <v>218197.14419399999</v>
      </c>
      <c r="D28" s="415">
        <f t="shared" si="0"/>
        <v>111.42512878605277</v>
      </c>
      <c r="E28" s="416">
        <f t="shared" si="1"/>
        <v>9.3744433838767449</v>
      </c>
      <c r="F28" s="115">
        <f>VLOOKUP(A28,총수신고!$M$6:$U$45,2,FALSE)</f>
        <v>53537</v>
      </c>
      <c r="G28" s="115">
        <f>VLOOKUP(A28,총수신고!$M$6:$U$45,4,FALSE)</f>
        <v>51192.368634999999</v>
      </c>
      <c r="H28" s="415">
        <f t="shared" si="2"/>
        <v>95.620540252535619</v>
      </c>
      <c r="I28" s="415">
        <f t="shared" si="3"/>
        <v>8.0027872116135939</v>
      </c>
      <c r="J28" s="416">
        <f t="shared" si="4"/>
        <v>17.068905537891411</v>
      </c>
      <c r="K28" s="416">
        <f t="shared" si="5"/>
        <v>25.071692749505004</v>
      </c>
      <c r="L28" s="115">
        <f>VLOOKUP(A28,체크카드!$A$5:$D$44,2,FALSE)</f>
        <v>288782</v>
      </c>
      <c r="M28" s="115">
        <f>VLOOKUP(A28,체크카드!$A$5:$D$44,3,FALSE)</f>
        <v>144771.52799999999</v>
      </c>
      <c r="N28" s="415">
        <f t="shared" si="6"/>
        <v>50.131769985663922</v>
      </c>
      <c r="O28" s="415">
        <f t="shared" si="7"/>
        <v>7.6234346474898773</v>
      </c>
      <c r="P28" s="416">
        <f t="shared" si="8"/>
        <v>10.10425312649695</v>
      </c>
      <c r="Q28" s="416">
        <f t="shared" si="9"/>
        <v>17.727687773986826</v>
      </c>
      <c r="R28" s="115">
        <f>VLOOKUP(A28,스마트금융!$A$5:$D$45,2,FALSE)</f>
        <v>8313</v>
      </c>
      <c r="S28" s="115">
        <f>VLOOKUP(A28,스마트금융!$A$5:$D$45,3,FALSE)</f>
        <v>8169</v>
      </c>
      <c r="T28" s="415">
        <f t="shared" si="10"/>
        <v>98.267773367015522</v>
      </c>
      <c r="U28" s="415">
        <f t="shared" si="11"/>
        <v>4.8570069564183367</v>
      </c>
      <c r="V28" s="416">
        <f t="shared" si="12"/>
        <v>9.6553013507251286</v>
      </c>
      <c r="W28" s="415">
        <f t="shared" si="13"/>
        <v>14.512308307143465</v>
      </c>
      <c r="X28" s="415">
        <f t="shared" si="14"/>
        <v>66.686132214512043</v>
      </c>
      <c r="Y28" s="460">
        <f t="shared" si="15"/>
        <v>14</v>
      </c>
      <c r="Z28" s="418"/>
    </row>
    <row r="29" spans="1:26">
      <c r="A29" s="132" t="s">
        <v>52</v>
      </c>
      <c r="B29" s="414">
        <f>VLOOKUP(A29,총수신고!$C$6:$I$45,2,FALSE)</f>
        <v>168242</v>
      </c>
      <c r="C29" s="414">
        <f>VLOOKUP(A29,총수신고!$C$6:$I$45,4,FALSE)</f>
        <v>181474.42251999999</v>
      </c>
      <c r="D29" s="415">
        <f t="shared" si="0"/>
        <v>107.86511246894355</v>
      </c>
      <c r="E29" s="416">
        <f t="shared" si="1"/>
        <v>9.0749313099486333</v>
      </c>
      <c r="F29" s="115">
        <f>VLOOKUP(A29,총수신고!$M$6:$U$45,2,FALSE)</f>
        <v>44175</v>
      </c>
      <c r="G29" s="115">
        <f>VLOOKUP(A29,총수신고!$M$6:$U$45,4,FALSE)</f>
        <v>43887.774230000003</v>
      </c>
      <c r="H29" s="415">
        <f t="shared" si="2"/>
        <v>99.349800181097919</v>
      </c>
      <c r="I29" s="415">
        <f t="shared" si="3"/>
        <v>6.8608764884127282</v>
      </c>
      <c r="J29" s="416">
        <f t="shared" si="4"/>
        <v>17.734603360542913</v>
      </c>
      <c r="K29" s="416">
        <f t="shared" si="5"/>
        <v>24.595479848955641</v>
      </c>
      <c r="L29" s="115">
        <f>VLOOKUP(A29,체크카드!$A$5:$D$44,2,FALSE)</f>
        <v>211366</v>
      </c>
      <c r="M29" s="115">
        <f>VLOOKUP(A29,체크카드!$A$5:$D$44,3,FALSE)</f>
        <v>107865.37</v>
      </c>
      <c r="N29" s="415">
        <f t="shared" si="6"/>
        <v>51.032507593463471</v>
      </c>
      <c r="O29" s="415">
        <f t="shared" si="7"/>
        <v>5.680016024437589</v>
      </c>
      <c r="P29" s="416">
        <f t="shared" si="8"/>
        <v>10.285800292941795</v>
      </c>
      <c r="Q29" s="416">
        <f t="shared" si="9"/>
        <v>15.965816317379385</v>
      </c>
      <c r="R29" s="115">
        <f>VLOOKUP(A29,스마트금융!$A$5:$D$45,2,FALSE)</f>
        <v>6592</v>
      </c>
      <c r="S29" s="115">
        <f>VLOOKUP(A29,스마트금융!$A$5:$D$45,3,FALSE)</f>
        <v>6549</v>
      </c>
      <c r="T29" s="415">
        <f t="shared" si="10"/>
        <v>99.347694174757279</v>
      </c>
      <c r="U29" s="415">
        <f t="shared" si="11"/>
        <v>3.8938105713776086</v>
      </c>
      <c r="V29" s="416">
        <f t="shared" si="12"/>
        <v>9.7614089837405018</v>
      </c>
      <c r="W29" s="415">
        <f t="shared" si="13"/>
        <v>13.65521955511811</v>
      </c>
      <c r="X29" s="415">
        <f t="shared" si="14"/>
        <v>63.291447031401766</v>
      </c>
      <c r="Y29" s="460">
        <f t="shared" si="15"/>
        <v>18</v>
      </c>
      <c r="Z29" s="418"/>
    </row>
    <row r="30" spans="1:26">
      <c r="A30" s="132" t="s">
        <v>53</v>
      </c>
      <c r="B30" s="414">
        <f>VLOOKUP(A30,총수신고!$C$6:$I$45,2,FALSE)</f>
        <v>146079</v>
      </c>
      <c r="C30" s="414">
        <f>VLOOKUP(A30,총수신고!$C$6:$I$45,4,FALSE)</f>
        <v>173211.80350000001</v>
      </c>
      <c r="D30" s="415">
        <f t="shared" si="0"/>
        <v>118.57406163788089</v>
      </c>
      <c r="E30" s="416">
        <f t="shared" si="1"/>
        <v>9.9758989711821808</v>
      </c>
      <c r="F30" s="115">
        <f>VLOOKUP(A30,총수신고!$M$6:$U$45,2,FALSE)</f>
        <v>37777</v>
      </c>
      <c r="G30" s="115">
        <f>VLOOKUP(A30,총수신고!$M$6:$U$45,4,FALSE)</f>
        <v>37174.971739000001</v>
      </c>
      <c r="H30" s="415">
        <f t="shared" si="2"/>
        <v>98.406362969531727</v>
      </c>
      <c r="I30" s="415">
        <f t="shared" si="3"/>
        <v>5.8114792567258595</v>
      </c>
      <c r="J30" s="416">
        <f t="shared" si="4"/>
        <v>17.566193512589479</v>
      </c>
      <c r="K30" s="416">
        <f t="shared" si="5"/>
        <v>23.377672769315339</v>
      </c>
      <c r="L30" s="115">
        <f>VLOOKUP(A30,체크카드!$A$5:$D$44,2,FALSE)</f>
        <v>183175</v>
      </c>
      <c r="M30" s="115">
        <f>VLOOKUP(A30,체크카드!$A$5:$D$44,3,FALSE)</f>
        <v>94438.85</v>
      </c>
      <c r="N30" s="415">
        <f t="shared" si="6"/>
        <v>51.556626177152999</v>
      </c>
      <c r="O30" s="415">
        <f t="shared" si="7"/>
        <v>4.9729971846335657</v>
      </c>
      <c r="P30" s="416">
        <f t="shared" si="8"/>
        <v>10.391438430981095</v>
      </c>
      <c r="Q30" s="416">
        <f t="shared" si="9"/>
        <v>15.36443561561466</v>
      </c>
      <c r="R30" s="115">
        <f>VLOOKUP(A30,스마트금융!$A$5:$D$45,2,FALSE)</f>
        <v>5494</v>
      </c>
      <c r="S30" s="115">
        <f>VLOOKUP(A30,스마트금융!$A$5:$D$45,3,FALSE)</f>
        <v>5543</v>
      </c>
      <c r="T30" s="415">
        <f t="shared" si="10"/>
        <v>100.89188205314889</v>
      </c>
      <c r="U30" s="415">
        <f t="shared" si="11"/>
        <v>3.2956775075807121</v>
      </c>
      <c r="V30" s="416">
        <f t="shared" si="12"/>
        <v>9.9131331838230938</v>
      </c>
      <c r="W30" s="415">
        <f t="shared" si="13"/>
        <v>13.208810691403805</v>
      </c>
      <c r="X30" s="415">
        <f t="shared" si="14"/>
        <v>61.926818047515987</v>
      </c>
      <c r="Y30" s="460">
        <f t="shared" si="15"/>
        <v>21</v>
      </c>
      <c r="Z30" s="418"/>
    </row>
    <row r="31" spans="1:26">
      <c r="A31" s="132" t="s">
        <v>94</v>
      </c>
      <c r="B31" s="414">
        <f>VLOOKUP(A31,총수신고!$C$6:$I$45,2,FALSE)</f>
        <v>101621</v>
      </c>
      <c r="C31" s="414">
        <f>VLOOKUP(A31,총수신고!$C$6:$I$45,4,FALSE)</f>
        <v>104911.57534</v>
      </c>
      <c r="D31" s="415">
        <f t="shared" si="0"/>
        <v>103.2380859664833</v>
      </c>
      <c r="E31" s="416">
        <f t="shared" si="1"/>
        <v>8.6856493009836999</v>
      </c>
      <c r="F31" s="115">
        <f>VLOOKUP(A31,총수신고!$M$6:$U$45,2,FALSE)</f>
        <v>24369</v>
      </c>
      <c r="G31" s="115">
        <f>VLOOKUP(A31,총수신고!$M$6:$U$45,4,FALSE)</f>
        <v>24422.881001000002</v>
      </c>
      <c r="H31" s="415">
        <f t="shared" si="2"/>
        <v>100.22110468628176</v>
      </c>
      <c r="I31" s="415">
        <f t="shared" si="3"/>
        <v>3.8179737518911043</v>
      </c>
      <c r="J31" s="416">
        <f t="shared" si="4"/>
        <v>17.89013703829086</v>
      </c>
      <c r="K31" s="416">
        <f t="shared" si="5"/>
        <v>21.708110790181962</v>
      </c>
      <c r="L31" s="115">
        <f>VLOOKUP(A31,체크카드!$A$5:$D$44,2,FALSE)</f>
        <v>123179</v>
      </c>
      <c r="M31" s="115">
        <f>VLOOKUP(A31,체크카드!$A$5:$D$44,3,FALSE)</f>
        <v>64331.936999999998</v>
      </c>
      <c r="N31" s="415">
        <f t="shared" si="6"/>
        <v>52.226383555638542</v>
      </c>
      <c r="O31" s="415">
        <f t="shared" si="7"/>
        <v>3.3876158125922107</v>
      </c>
      <c r="P31" s="416">
        <f t="shared" si="8"/>
        <v>10.52643063427837</v>
      </c>
      <c r="Q31" s="416">
        <f t="shared" si="9"/>
        <v>13.91404644687058</v>
      </c>
      <c r="R31" s="115">
        <f>VLOOKUP(A31,스마트금융!$A$5:$D$45,2,FALSE)</f>
        <v>3779</v>
      </c>
      <c r="S31" s="115">
        <f>VLOOKUP(A31,스마트금융!$A$5:$D$45,3,FALSE)</f>
        <v>3806</v>
      </c>
      <c r="T31" s="415">
        <f t="shared" si="10"/>
        <v>100.71447472876423</v>
      </c>
      <c r="U31" s="415">
        <f t="shared" si="11"/>
        <v>2.2629169391759318</v>
      </c>
      <c r="V31" s="416">
        <f t="shared" si="12"/>
        <v>9.8957020248574565</v>
      </c>
      <c r="W31" s="415">
        <f t="shared" si="13"/>
        <v>12.158618964033389</v>
      </c>
      <c r="X31" s="415">
        <f t="shared" si="14"/>
        <v>56.466425502069626</v>
      </c>
      <c r="Y31" s="460">
        <f t="shared" si="15"/>
        <v>30</v>
      </c>
      <c r="Z31" s="418"/>
    </row>
    <row r="32" spans="1:26">
      <c r="A32" s="132" t="s">
        <v>95</v>
      </c>
      <c r="B32" s="414">
        <f>VLOOKUP(A32,총수신고!$C$6:$I$45,2,FALSE)</f>
        <v>111060</v>
      </c>
      <c r="C32" s="414">
        <f>VLOOKUP(A32,총수신고!$C$6:$I$45,4,FALSE)</f>
        <v>120311.57211199999</v>
      </c>
      <c r="D32" s="415">
        <f t="shared" si="0"/>
        <v>108.33024681433459</v>
      </c>
      <c r="E32" s="416">
        <f t="shared" si="1"/>
        <v>9.1140640947546263</v>
      </c>
      <c r="F32" s="115">
        <f>VLOOKUP(A32,총수신고!$M$6:$U$45,2,FALSE)</f>
        <v>36775</v>
      </c>
      <c r="G32" s="115">
        <f>VLOOKUP(A32,총수신고!$M$6:$U$45,4,FALSE)</f>
        <v>35527.276075000002</v>
      </c>
      <c r="H32" s="415">
        <f t="shared" si="2"/>
        <v>96.607140924541142</v>
      </c>
      <c r="I32" s="415">
        <f t="shared" si="3"/>
        <v>5.5538987200152556</v>
      </c>
      <c r="J32" s="416">
        <f t="shared" si="4"/>
        <v>17.245020352026604</v>
      </c>
      <c r="K32" s="416">
        <f t="shared" si="5"/>
        <v>22.798919072041858</v>
      </c>
      <c r="L32" s="115">
        <f>VLOOKUP(A32,체크카드!$A$5:$D$44,2,FALSE)</f>
        <v>129433</v>
      </c>
      <c r="M32" s="115">
        <f>VLOOKUP(A32,체크카드!$A$5:$D$44,3,FALSE)</f>
        <v>65067.981</v>
      </c>
      <c r="N32" s="415">
        <f t="shared" si="6"/>
        <v>50.271554394937922</v>
      </c>
      <c r="O32" s="415">
        <f t="shared" si="7"/>
        <v>3.4263746998485298</v>
      </c>
      <c r="P32" s="416">
        <f t="shared" si="8"/>
        <v>10.132427217594199</v>
      </c>
      <c r="Q32" s="416">
        <f t="shared" si="9"/>
        <v>13.558801917442729</v>
      </c>
      <c r="R32" s="115">
        <f>VLOOKUP(A32,스마트금융!$A$5:$D$45,2,FALSE)</f>
        <v>4429</v>
      </c>
      <c r="S32" s="115">
        <f>VLOOKUP(A32,스마트금융!$A$5:$D$45,3,FALSE)</f>
        <v>4476</v>
      </c>
      <c r="T32" s="415">
        <f t="shared" si="10"/>
        <v>101.06118762700385</v>
      </c>
      <c r="U32" s="415">
        <f t="shared" si="11"/>
        <v>2.6612759379273441</v>
      </c>
      <c r="V32" s="416">
        <f t="shared" si="12"/>
        <v>9.929768305185025</v>
      </c>
      <c r="W32" s="415">
        <f t="shared" si="13"/>
        <v>12.591044243112369</v>
      </c>
      <c r="X32" s="415">
        <f t="shared" si="14"/>
        <v>58.062829327351587</v>
      </c>
      <c r="Y32" s="460">
        <f t="shared" si="15"/>
        <v>29</v>
      </c>
      <c r="Z32" s="418"/>
    </row>
    <row r="33" spans="1:28">
      <c r="A33" s="132" t="s">
        <v>96</v>
      </c>
      <c r="B33" s="414">
        <f>VLOOKUP(A33,총수신고!$C$6:$I$45,2,FALSE)</f>
        <v>110239</v>
      </c>
      <c r="C33" s="414">
        <f>VLOOKUP(A33,총수신고!$C$6:$I$45,4,FALSE)</f>
        <v>115107.26268299999</v>
      </c>
      <c r="D33" s="415">
        <f t="shared" si="0"/>
        <v>104.41609837081249</v>
      </c>
      <c r="E33" s="416">
        <f t="shared" si="1"/>
        <v>8.7847580990636427</v>
      </c>
      <c r="F33" s="115">
        <f>VLOOKUP(A33,총수신고!$M$6:$U$45,2,FALSE)</f>
        <v>35182</v>
      </c>
      <c r="G33" s="115">
        <f>VLOOKUP(A33,총수신고!$M$6:$U$45,4,FALSE)</f>
        <v>35981.229828000003</v>
      </c>
      <c r="H33" s="415">
        <f t="shared" si="2"/>
        <v>102.2717009493491</v>
      </c>
      <c r="I33" s="415">
        <f t="shared" si="3"/>
        <v>5.6248642835560805</v>
      </c>
      <c r="J33" s="416">
        <f t="shared" si="4"/>
        <v>18.256182176900303</v>
      </c>
      <c r="K33" s="416">
        <f t="shared" si="5"/>
        <v>23.881046460456382</v>
      </c>
      <c r="L33" s="115">
        <f>VLOOKUP(A33,체크카드!$A$5:$D$44,2,FALSE)</f>
        <v>161446</v>
      </c>
      <c r="M33" s="115">
        <f>VLOOKUP(A33,체크카드!$A$5:$D$44,3,FALSE)</f>
        <v>80639.233999999997</v>
      </c>
      <c r="N33" s="415">
        <f t="shared" si="6"/>
        <v>49.948115159248289</v>
      </c>
      <c r="O33" s="415">
        <f t="shared" si="7"/>
        <v>4.2463317125632862</v>
      </c>
      <c r="P33" s="416">
        <f t="shared" si="8"/>
        <v>10.067236782279759</v>
      </c>
      <c r="Q33" s="416">
        <f t="shared" si="9"/>
        <v>14.313568494843045</v>
      </c>
      <c r="R33" s="115">
        <f>VLOOKUP(A33,스마트금융!$A$5:$D$45,2,FALSE)</f>
        <v>4406</v>
      </c>
      <c r="S33" s="115">
        <f>VLOOKUP(A33,스마트금융!$A$5:$D$45,3,FALSE)</f>
        <v>4348</v>
      </c>
      <c r="T33" s="415">
        <f t="shared" si="10"/>
        <v>98.683613254652741</v>
      </c>
      <c r="U33" s="415">
        <f t="shared" si="11"/>
        <v>2.5851715321957309</v>
      </c>
      <c r="V33" s="416">
        <f t="shared" si="12"/>
        <v>9.6961597042953613</v>
      </c>
      <c r="W33" s="415">
        <f t="shared" si="13"/>
        <v>12.281331236491091</v>
      </c>
      <c r="X33" s="415">
        <f t="shared" si="14"/>
        <v>59.260704290854164</v>
      </c>
      <c r="Y33" s="460">
        <f t="shared" si="15"/>
        <v>26</v>
      </c>
      <c r="Z33" s="418"/>
    </row>
    <row r="34" spans="1:28">
      <c r="A34" s="132" t="s">
        <v>97</v>
      </c>
      <c r="B34" s="414">
        <f>VLOOKUP(A34,총수신고!$C$6:$I$45,2,FALSE)</f>
        <v>111388</v>
      </c>
      <c r="C34" s="414">
        <f>VLOOKUP(A34,총수신고!$C$6:$I$45,4,FALSE)</f>
        <v>121517.554422</v>
      </c>
      <c r="D34" s="415">
        <f t="shared" si="0"/>
        <v>109.09393688907242</v>
      </c>
      <c r="E34" s="416">
        <f t="shared" si="1"/>
        <v>9.1783150356909804</v>
      </c>
      <c r="F34" s="115">
        <f>VLOOKUP(A34,총수신고!$M$6:$U$45,2,FALSE)</f>
        <v>30447</v>
      </c>
      <c r="G34" s="115">
        <f>VLOOKUP(A34,총수신고!$M$6:$U$45,4,FALSE)</f>
        <v>31292.439032999999</v>
      </c>
      <c r="H34" s="415">
        <f t="shared" si="2"/>
        <v>102.77675643905803</v>
      </c>
      <c r="I34" s="415">
        <f t="shared" si="3"/>
        <v>4.8918762227828383</v>
      </c>
      <c r="J34" s="416">
        <f t="shared" si="4"/>
        <v>18.346337957472844</v>
      </c>
      <c r="K34" s="416">
        <f t="shared" si="5"/>
        <v>23.238214180255682</v>
      </c>
      <c r="L34" s="115">
        <f>VLOOKUP(A34,체크카드!$A$5:$D$44,2,FALSE)</f>
        <v>128698</v>
      </c>
      <c r="M34" s="115">
        <f>VLOOKUP(A34,체크카드!$A$5:$D$44,3,FALSE)</f>
        <v>67315.865999999995</v>
      </c>
      <c r="N34" s="415">
        <f t="shared" si="6"/>
        <v>52.305293011546404</v>
      </c>
      <c r="O34" s="415">
        <f t="shared" si="7"/>
        <v>3.5447446903384607</v>
      </c>
      <c r="P34" s="416">
        <f t="shared" si="8"/>
        <v>10.542335141874954</v>
      </c>
      <c r="Q34" s="416">
        <f t="shared" si="9"/>
        <v>14.087079832213416</v>
      </c>
      <c r="R34" s="115">
        <f>VLOOKUP(A34,스마트금융!$A$5:$D$45,2,FALSE)</f>
        <v>4102</v>
      </c>
      <c r="S34" s="115">
        <f>VLOOKUP(A34,스마트금융!$A$5:$D$45,3,FALSE)</f>
        <v>3980</v>
      </c>
      <c r="T34" s="415">
        <f t="shared" si="10"/>
        <v>97.025841053144816</v>
      </c>
      <c r="U34" s="415">
        <f t="shared" si="11"/>
        <v>2.3663713657173435</v>
      </c>
      <c r="V34" s="416">
        <f t="shared" si="12"/>
        <v>9.5332752750671457</v>
      </c>
      <c r="W34" s="415">
        <f t="shared" si="13"/>
        <v>11.899646640784489</v>
      </c>
      <c r="X34" s="415">
        <f t="shared" si="14"/>
        <v>58.403255688944562</v>
      </c>
      <c r="Y34" s="460">
        <f t="shared" si="15"/>
        <v>27</v>
      </c>
      <c r="Z34" s="418"/>
    </row>
    <row r="35" spans="1:28">
      <c r="A35" s="132" t="s">
        <v>98</v>
      </c>
      <c r="B35" s="414">
        <f>VLOOKUP(A35,총수신고!$C$6:$I$45,2,FALSE)</f>
        <v>138961</v>
      </c>
      <c r="C35" s="414">
        <f>VLOOKUP(A35,총수신고!$C$6:$I$45,4,FALSE)</f>
        <v>144198.661941</v>
      </c>
      <c r="D35" s="415">
        <f t="shared" si="0"/>
        <v>103.7691596498298</v>
      </c>
      <c r="E35" s="416">
        <f t="shared" si="1"/>
        <v>8.7303297086389424</v>
      </c>
      <c r="F35" s="115">
        <f>VLOOKUP(A35,총수신고!$M$6:$U$45,2,FALSE)</f>
        <v>26692</v>
      </c>
      <c r="G35" s="115">
        <f>VLOOKUP(A35,총수신고!$M$6:$U$45,4,FALSE)</f>
        <v>26679.172422</v>
      </c>
      <c r="H35" s="415">
        <f t="shared" si="2"/>
        <v>99.951942237374496</v>
      </c>
      <c r="I35" s="415">
        <f t="shared" si="3"/>
        <v>4.1706946868881811</v>
      </c>
      <c r="J35" s="416">
        <f t="shared" si="4"/>
        <v>17.842089742149131</v>
      </c>
      <c r="K35" s="416">
        <f t="shared" si="5"/>
        <v>22.01278442903731</v>
      </c>
      <c r="L35" s="115">
        <f>VLOOKUP(A35,체크카드!$A$5:$D$44,2,FALSE)</f>
        <v>99260</v>
      </c>
      <c r="M35" s="115">
        <f>VLOOKUP(A35,체크카드!$A$5:$D$44,3,FALSE)</f>
        <v>49983.45</v>
      </c>
      <c r="N35" s="415">
        <f t="shared" si="6"/>
        <v>50.356085029216203</v>
      </c>
      <c r="O35" s="415">
        <f t="shared" si="7"/>
        <v>2.6320476808884541</v>
      </c>
      <c r="P35" s="416">
        <f t="shared" si="8"/>
        <v>10.149464695543518</v>
      </c>
      <c r="Q35" s="416">
        <f t="shared" si="9"/>
        <v>12.781512376431973</v>
      </c>
      <c r="R35" s="115">
        <f>VLOOKUP(A35,스마트금융!$A$5:$D$45,2,FALSE)</f>
        <v>4481</v>
      </c>
      <c r="S35" s="115">
        <f>VLOOKUP(A35,스마트금융!$A$5:$D$45,3,FALSE)</f>
        <v>4460</v>
      </c>
      <c r="T35" s="415">
        <f t="shared" si="10"/>
        <v>99.531354608346362</v>
      </c>
      <c r="U35" s="415">
        <f t="shared" si="11"/>
        <v>2.6517628872108925</v>
      </c>
      <c r="V35" s="416">
        <f t="shared" si="12"/>
        <v>9.7794545420323793</v>
      </c>
      <c r="W35" s="415">
        <f t="shared" si="13"/>
        <v>12.431217429243272</v>
      </c>
      <c r="X35" s="415">
        <f t="shared" si="14"/>
        <v>55.955843943351496</v>
      </c>
      <c r="Y35" s="460">
        <f t="shared" si="15"/>
        <v>32</v>
      </c>
      <c r="Z35" s="418"/>
    </row>
    <row r="36" spans="1:28">
      <c r="A36" s="132" t="s">
        <v>99</v>
      </c>
      <c r="B36" s="414">
        <f>VLOOKUP(A36,총수신고!$C$6:$I$45,2,FALSE)</f>
        <v>101589</v>
      </c>
      <c r="C36" s="414">
        <f>VLOOKUP(A36,총수신고!$C$6:$I$45,4,FALSE)</f>
        <v>103812.895831</v>
      </c>
      <c r="D36" s="415">
        <f t="shared" si="0"/>
        <v>102.18911085944345</v>
      </c>
      <c r="E36" s="416">
        <f t="shared" si="1"/>
        <v>8.5973966971126057</v>
      </c>
      <c r="F36" s="115">
        <f>VLOOKUP(A36,총수신고!$M$6:$U$45,2,FALSE)</f>
        <v>25162</v>
      </c>
      <c r="G36" s="115">
        <f>VLOOKUP(A36,총수신고!$M$6:$U$45,4,FALSE)</f>
        <v>23268.551044</v>
      </c>
      <c r="H36" s="415">
        <f t="shared" si="2"/>
        <v>92.474966393768369</v>
      </c>
      <c r="I36" s="415">
        <f t="shared" si="3"/>
        <v>3.6375199603557342</v>
      </c>
      <c r="J36" s="416">
        <f t="shared" si="4"/>
        <v>16.507399579904153</v>
      </c>
      <c r="K36" s="416">
        <f t="shared" si="5"/>
        <v>20.144919540259888</v>
      </c>
      <c r="L36" s="115">
        <f>VLOOKUP(A36,체크카드!$A$5:$D$44,2,FALSE)</f>
        <v>63300</v>
      </c>
      <c r="M36" s="115">
        <f>VLOOKUP(A36,체크카드!$A$5:$D$44,3,FALSE)</f>
        <v>34605.103999999999</v>
      </c>
      <c r="N36" s="415">
        <f t="shared" si="6"/>
        <v>54.668410742496057</v>
      </c>
      <c r="O36" s="415">
        <f t="shared" si="7"/>
        <v>1.8222488389677738</v>
      </c>
      <c r="P36" s="416">
        <f t="shared" si="8"/>
        <v>11.018630707103485</v>
      </c>
      <c r="Q36" s="416">
        <f t="shared" si="9"/>
        <v>12.840879546071259</v>
      </c>
      <c r="R36" s="115">
        <f>VLOOKUP(A36,스마트금융!$A$5:$D$45,2,FALSE)</f>
        <v>2673</v>
      </c>
      <c r="S36" s="115">
        <f>VLOOKUP(A36,스마트금융!$A$5:$D$45,3,FALSE)</f>
        <v>2601</v>
      </c>
      <c r="T36" s="415">
        <f t="shared" si="10"/>
        <v>97.306397306397301</v>
      </c>
      <c r="U36" s="415">
        <f t="shared" si="11"/>
        <v>1.5464653070931684</v>
      </c>
      <c r="V36" s="416">
        <f t="shared" si="12"/>
        <v>9.5608413333807487</v>
      </c>
      <c r="W36" s="415">
        <f t="shared" si="13"/>
        <v>11.107306640473917</v>
      </c>
      <c r="X36" s="415">
        <f t="shared" si="14"/>
        <v>52.690502423917664</v>
      </c>
      <c r="Y36" s="460">
        <f t="shared" si="15"/>
        <v>38</v>
      </c>
      <c r="Z36" s="418"/>
    </row>
    <row r="37" spans="1:28">
      <c r="A37" s="132" t="s">
        <v>100</v>
      </c>
      <c r="B37" s="414">
        <f>VLOOKUP(A37,총수신고!$C$6:$I$45,2,FALSE)</f>
        <v>63569</v>
      </c>
      <c r="C37" s="414">
        <f>VLOOKUP(A37,총수신고!$C$6:$I$45,4,FALSE)</f>
        <v>65792.214259999993</v>
      </c>
      <c r="D37" s="415">
        <f t="shared" si="0"/>
        <v>103.4973245764445</v>
      </c>
      <c r="E37" s="416">
        <f t="shared" si="1"/>
        <v>8.7074596205989678</v>
      </c>
      <c r="F37" s="115">
        <f>VLOOKUP(A37,총수신고!$M$6:$U$45,2,FALSE)</f>
        <v>20737</v>
      </c>
      <c r="G37" s="115">
        <f>VLOOKUP(A37,총수신고!$M$6:$U$45,4,FALSE)</f>
        <v>20216.477986000002</v>
      </c>
      <c r="H37" s="415">
        <f t="shared" si="2"/>
        <v>97.489887572937278</v>
      </c>
      <c r="I37" s="415">
        <f t="shared" si="3"/>
        <v>3.1603962817929605</v>
      </c>
      <c r="J37" s="416">
        <f t="shared" si="4"/>
        <v>17.402596528814254</v>
      </c>
      <c r="K37" s="416">
        <f t="shared" si="5"/>
        <v>20.562992810607213</v>
      </c>
      <c r="L37" s="115">
        <f>VLOOKUP(A37,체크카드!$A$5:$D$44,2,FALSE)</f>
        <v>90004</v>
      </c>
      <c r="M37" s="115">
        <f>VLOOKUP(A37,체크카드!$A$5:$D$44,3,FALSE)</f>
        <v>45584.495999999999</v>
      </c>
      <c r="N37" s="415">
        <f t="shared" si="6"/>
        <v>50.647189013821603</v>
      </c>
      <c r="O37" s="415">
        <f t="shared" si="7"/>
        <v>2.4004058739696643</v>
      </c>
      <c r="P37" s="416">
        <f t="shared" si="8"/>
        <v>10.208137835299523</v>
      </c>
      <c r="Q37" s="416">
        <f t="shared" si="9"/>
        <v>12.608543709269187</v>
      </c>
      <c r="R37" s="115">
        <f>VLOOKUP(A37,스마트금융!$A$5:$D$45,2,FALSE)</f>
        <v>2657</v>
      </c>
      <c r="S37" s="115">
        <f>VLOOKUP(A37,스마트금융!$A$5:$D$45,3,FALSE)</f>
        <v>2538</v>
      </c>
      <c r="T37" s="415">
        <f t="shared" si="10"/>
        <v>95.521264584117432</v>
      </c>
      <c r="U37" s="415">
        <f t="shared" si="11"/>
        <v>1.5090076698971402</v>
      </c>
      <c r="V37" s="416">
        <f t="shared" si="12"/>
        <v>9.3854430945270142</v>
      </c>
      <c r="W37" s="415">
        <f t="shared" si="13"/>
        <v>10.894450764424155</v>
      </c>
      <c r="X37" s="415">
        <f t="shared" si="14"/>
        <v>52.773446904899522</v>
      </c>
      <c r="Y37" s="460">
        <f t="shared" si="15"/>
        <v>37</v>
      </c>
      <c r="Z37" s="418"/>
    </row>
    <row r="38" spans="1:28">
      <c r="A38" s="132" t="s">
        <v>101</v>
      </c>
      <c r="B38" s="414">
        <f>VLOOKUP(A38,총수신고!$C$6:$I$45,2,FALSE)</f>
        <v>120659</v>
      </c>
      <c r="C38" s="414">
        <f>VLOOKUP(A38,총수신고!$C$6:$I$45,4,FALSE)</f>
        <v>126542.61062399999</v>
      </c>
      <c r="D38" s="415">
        <f t="shared" si="0"/>
        <v>104.87623022236218</v>
      </c>
      <c r="E38" s="416">
        <f t="shared" si="1"/>
        <v>8.8234700129601329</v>
      </c>
      <c r="F38" s="115">
        <f>VLOOKUP(A38,총수신고!$M$6:$U$45,2,FALSE)</f>
        <v>26497</v>
      </c>
      <c r="G38" s="115">
        <f>VLOOKUP(A38,총수신고!$M$6:$U$45,4,FALSE)</f>
        <v>26469.439880000002</v>
      </c>
      <c r="H38" s="415">
        <f t="shared" si="2"/>
        <v>99.895987772200641</v>
      </c>
      <c r="I38" s="415">
        <f t="shared" si="3"/>
        <v>4.1379076729302211</v>
      </c>
      <c r="J38" s="416">
        <f t="shared" si="4"/>
        <v>17.832101496130509</v>
      </c>
      <c r="K38" s="416">
        <f t="shared" si="5"/>
        <v>21.970009169060731</v>
      </c>
      <c r="L38" s="115">
        <f>VLOOKUP(A38,체크카드!$A$5:$D$44,2,FALSE)</f>
        <v>101103</v>
      </c>
      <c r="M38" s="115">
        <f>VLOOKUP(A38,체크카드!$A$5:$D$44,3,FALSE)</f>
        <v>54237.673999999999</v>
      </c>
      <c r="N38" s="415">
        <f t="shared" si="6"/>
        <v>53.645959071441993</v>
      </c>
      <c r="O38" s="415">
        <f t="shared" si="7"/>
        <v>2.8560682399571058</v>
      </c>
      <c r="P38" s="416">
        <f t="shared" si="8"/>
        <v>10.812551598049597</v>
      </c>
      <c r="Q38" s="416">
        <f t="shared" si="9"/>
        <v>13.668619838006702</v>
      </c>
      <c r="R38" s="115">
        <f>VLOOKUP(A38,스마트금융!$A$5:$D$45,2,FALSE)</f>
        <v>3526</v>
      </c>
      <c r="S38" s="115">
        <f>VLOOKUP(A38,스마트금융!$A$5:$D$45,3,FALSE)</f>
        <v>3460</v>
      </c>
      <c r="T38" s="415">
        <f t="shared" si="10"/>
        <v>98.128190584231419</v>
      </c>
      <c r="U38" s="415">
        <f t="shared" si="11"/>
        <v>2.0571972174326656</v>
      </c>
      <c r="V38" s="416">
        <f t="shared" si="12"/>
        <v>9.641586642586585</v>
      </c>
      <c r="W38" s="415">
        <f t="shared" si="13"/>
        <v>11.698783860019251</v>
      </c>
      <c r="X38" s="415">
        <f t="shared" si="14"/>
        <v>56.160882880046813</v>
      </c>
      <c r="Y38" s="460">
        <f t="shared" si="15"/>
        <v>31</v>
      </c>
      <c r="Z38" s="418"/>
    </row>
    <row r="39" spans="1:28">
      <c r="A39" s="132" t="s">
        <v>102</v>
      </c>
      <c r="B39" s="414">
        <f>VLOOKUP(A39,총수신고!$C$6:$I$45,2,FALSE)</f>
        <v>94709</v>
      </c>
      <c r="C39" s="414">
        <f>VLOOKUP(A39,총수신고!$C$6:$I$45,4,FALSE)</f>
        <v>96701.369227999996</v>
      </c>
      <c r="D39" s="415">
        <f t="shared" si="0"/>
        <v>102.10367465393998</v>
      </c>
      <c r="E39" s="416">
        <f t="shared" si="1"/>
        <v>8.5902087595248169</v>
      </c>
      <c r="F39" s="115">
        <f>VLOOKUP(A39,총수신고!$M$6:$U$45,2,FALSE)</f>
        <v>21185</v>
      </c>
      <c r="G39" s="115">
        <f>VLOOKUP(A39,총수신고!$M$6:$U$45,4,FALSE)</f>
        <v>21572.060154999999</v>
      </c>
      <c r="H39" s="415">
        <f t="shared" si="2"/>
        <v>101.82704817087563</v>
      </c>
      <c r="I39" s="415">
        <f t="shared" si="3"/>
        <v>3.3723113764765764</v>
      </c>
      <c r="J39" s="416">
        <f t="shared" si="4"/>
        <v>18.176808683999301</v>
      </c>
      <c r="K39" s="416">
        <f t="shared" si="5"/>
        <v>21.549120060475879</v>
      </c>
      <c r="L39" s="115">
        <f>VLOOKUP(A39,체크카드!$A$5:$D$44,2,FALSE)</f>
        <v>89892</v>
      </c>
      <c r="M39" s="115">
        <f>VLOOKUP(A39,체크카드!$A$5:$D$44,3,FALSE)</f>
        <v>43486.516000000003</v>
      </c>
      <c r="N39" s="415">
        <f t="shared" si="6"/>
        <v>48.376402794464475</v>
      </c>
      <c r="O39" s="415">
        <f t="shared" si="7"/>
        <v>2.289929638464705</v>
      </c>
      <c r="P39" s="416">
        <f t="shared" si="8"/>
        <v>9.7504520451686965</v>
      </c>
      <c r="Q39" s="416">
        <f t="shared" si="9"/>
        <v>12.040381683633402</v>
      </c>
      <c r="R39" s="115">
        <f>VLOOKUP(A39,스마트금융!$A$5:$D$45,2,FALSE)</f>
        <v>3096</v>
      </c>
      <c r="S39" s="115">
        <f>VLOOKUP(A39,스마트금융!$A$5:$D$45,3,FALSE)</f>
        <v>3074</v>
      </c>
      <c r="T39" s="415">
        <f t="shared" si="10"/>
        <v>99.289405684754513</v>
      </c>
      <c r="U39" s="415">
        <f t="shared" si="11"/>
        <v>1.8276948688982697</v>
      </c>
      <c r="V39" s="416">
        <f t="shared" si="12"/>
        <v>9.7556818473968967</v>
      </c>
      <c r="W39" s="415">
        <f t="shared" si="13"/>
        <v>11.583376716295167</v>
      </c>
      <c r="X39" s="415">
        <f t="shared" si="14"/>
        <v>53.763087219929261</v>
      </c>
      <c r="Y39" s="460">
        <f t="shared" si="15"/>
        <v>35</v>
      </c>
      <c r="Z39" s="418"/>
    </row>
    <row r="40" spans="1:28">
      <c r="A40" s="132" t="s">
        <v>103</v>
      </c>
      <c r="B40" s="414">
        <f>VLOOKUP(A40,총수신고!$C$6:$I$45,2,FALSE)</f>
        <v>72426</v>
      </c>
      <c r="C40" s="414">
        <f>VLOOKUP(A40,총수신고!$C$6:$I$45,4,FALSE)</f>
        <v>79926.101607999997</v>
      </c>
      <c r="D40" s="415">
        <f t="shared" si="0"/>
        <v>110.35553752519813</v>
      </c>
      <c r="E40" s="416">
        <f t="shared" si="1"/>
        <v>9.284456297229319</v>
      </c>
      <c r="F40" s="115">
        <f>VLOOKUP(A40,총수신고!$M$6:$U$45,2,FALSE)</f>
        <v>20863</v>
      </c>
      <c r="G40" s="115">
        <f>VLOOKUP(A40,총수신고!$M$6:$U$45,4,FALSE)</f>
        <v>20303.624392999998</v>
      </c>
      <c r="H40" s="415">
        <f t="shared" si="2"/>
        <v>97.318815093706561</v>
      </c>
      <c r="I40" s="415">
        <f t="shared" si="3"/>
        <v>3.1740196825082156</v>
      </c>
      <c r="J40" s="416">
        <f t="shared" si="4"/>
        <v>17.372058947867625</v>
      </c>
      <c r="K40" s="416">
        <f t="shared" si="5"/>
        <v>20.546078630375842</v>
      </c>
      <c r="L40" s="115">
        <f>VLOOKUP(A40,체크카드!$A$5:$D$44,2,FALSE)</f>
        <v>107227</v>
      </c>
      <c r="M40" s="115">
        <f>VLOOKUP(A40,체크카드!$A$5:$D$44,3,FALSE)</f>
        <v>53094.129000000001</v>
      </c>
      <c r="N40" s="415">
        <f t="shared" si="6"/>
        <v>49.515634122002858</v>
      </c>
      <c r="O40" s="415">
        <f t="shared" si="7"/>
        <v>2.7958510087487447</v>
      </c>
      <c r="P40" s="416">
        <f t="shared" si="8"/>
        <v>9.9800685479647235</v>
      </c>
      <c r="Q40" s="416">
        <f t="shared" si="9"/>
        <v>12.775919556713468</v>
      </c>
      <c r="R40" s="115">
        <f>VLOOKUP(A40,스마트금융!$A$5:$D$45,2,FALSE)</f>
        <v>3148</v>
      </c>
      <c r="S40" s="115">
        <f>VLOOKUP(A40,스마트금융!$A$5:$D$45,3,FALSE)</f>
        <v>3042</v>
      </c>
      <c r="T40" s="415">
        <f t="shared" si="10"/>
        <v>96.632782719186778</v>
      </c>
      <c r="U40" s="415">
        <f t="shared" si="11"/>
        <v>1.8086687674653665</v>
      </c>
      <c r="V40" s="416">
        <f t="shared" si="12"/>
        <v>9.4946553233500683</v>
      </c>
      <c r="W40" s="415">
        <f t="shared" si="13"/>
        <v>11.303324090815435</v>
      </c>
      <c r="X40" s="415">
        <f t="shared" si="14"/>
        <v>53.909778575134069</v>
      </c>
      <c r="Y40" s="460">
        <f t="shared" si="15"/>
        <v>34</v>
      </c>
      <c r="Z40" s="418"/>
    </row>
    <row r="41" spans="1:28">
      <c r="A41" s="132" t="s">
        <v>104</v>
      </c>
      <c r="B41" s="414">
        <f>VLOOKUP(A41,총수신고!$C$6:$I$45,2,FALSE)</f>
        <v>64326</v>
      </c>
      <c r="C41" s="414">
        <f>VLOOKUP(A41,총수신고!$C$6:$I$45,4,FALSE)</f>
        <v>68152.834631000005</v>
      </c>
      <c r="D41" s="415">
        <f t="shared" si="0"/>
        <v>105.94912575164008</v>
      </c>
      <c r="E41" s="416">
        <f t="shared" si="1"/>
        <v>8.913735095043565</v>
      </c>
      <c r="F41" s="115">
        <f>VLOOKUP(A41,총수신고!$M$6:$U$45,2,FALSE)</f>
        <v>18598</v>
      </c>
      <c r="G41" s="115">
        <f>VLOOKUP(A41,총수신고!$M$6:$U$45,4,FALSE)</f>
        <v>18511.132745999999</v>
      </c>
      <c r="H41" s="415">
        <f t="shared" si="2"/>
        <v>99.532921529196685</v>
      </c>
      <c r="I41" s="415">
        <f t="shared" si="3"/>
        <v>2.8938035172470475</v>
      </c>
      <c r="J41" s="416">
        <f t="shared" si="4"/>
        <v>17.767291745113994</v>
      </c>
      <c r="K41" s="416">
        <f t="shared" si="5"/>
        <v>20.661095262361041</v>
      </c>
      <c r="L41" s="115">
        <f>VLOOKUP(A41,체크카드!$A$5:$D$44,2,FALSE)</f>
        <v>67040</v>
      </c>
      <c r="M41" s="115">
        <f>VLOOKUP(A41,체크카드!$A$5:$D$44,3,FALSE)</f>
        <v>35047.116999999998</v>
      </c>
      <c r="N41" s="415">
        <f t="shared" si="6"/>
        <v>52.277919152744623</v>
      </c>
      <c r="O41" s="415">
        <f t="shared" si="7"/>
        <v>1.8455245290526427</v>
      </c>
      <c r="P41" s="416">
        <f t="shared" si="8"/>
        <v>10.536817834218327</v>
      </c>
      <c r="Q41" s="416">
        <f t="shared" si="9"/>
        <v>12.38234236327097</v>
      </c>
      <c r="R41" s="115">
        <f>VLOOKUP(A41,스마트금융!$A$5:$D$45,2,FALSE)</f>
        <v>1815</v>
      </c>
      <c r="S41" s="115">
        <f>VLOOKUP(A41,스마트금융!$A$5:$D$45,3,FALSE)</f>
        <v>1804</v>
      </c>
      <c r="T41" s="415">
        <f t="shared" si="10"/>
        <v>99.393939393939391</v>
      </c>
      <c r="U41" s="415">
        <f t="shared" si="11"/>
        <v>1.0725964682799216</v>
      </c>
      <c r="V41" s="416">
        <f t="shared" si="12"/>
        <v>9.7659528083529317</v>
      </c>
      <c r="W41" s="415">
        <f t="shared" si="13"/>
        <v>10.838549276632854</v>
      </c>
      <c r="X41" s="415">
        <f t="shared" si="14"/>
        <v>52.795721997308434</v>
      </c>
      <c r="Y41" s="460">
        <f t="shared" si="15"/>
        <v>36</v>
      </c>
      <c r="Z41" s="418"/>
    </row>
    <row r="42" spans="1:28">
      <c r="A42" s="132" t="s">
        <v>105</v>
      </c>
      <c r="B42" s="414">
        <f>VLOOKUP(A42,총수신고!$C$6:$I$45,2,FALSE)</f>
        <v>33147</v>
      </c>
      <c r="C42" s="414">
        <f>VLOOKUP(A42,총수신고!$C$6:$I$45,4,FALSE)</f>
        <v>36338.038419999997</v>
      </c>
      <c r="D42" s="415">
        <f t="shared" si="0"/>
        <v>109.62692979756841</v>
      </c>
      <c r="E42" s="416">
        <f t="shared" si="1"/>
        <v>9.2231569120176164</v>
      </c>
      <c r="F42" s="115">
        <f>VLOOKUP(A42,총수신고!$M$6:$U$45,2,FALSE)</f>
        <v>7812</v>
      </c>
      <c r="G42" s="115">
        <f>VLOOKUP(A42,총수신고!$M$6:$U$45,4,FALSE)</f>
        <v>7582.5077940000001</v>
      </c>
      <c r="H42" s="415">
        <f t="shared" si="2"/>
        <v>97.06231175115208</v>
      </c>
      <c r="I42" s="415">
        <f t="shared" si="3"/>
        <v>1.1853562947719543</v>
      </c>
      <c r="J42" s="416">
        <f t="shared" si="4"/>
        <v>17.326271386820043</v>
      </c>
      <c r="K42" s="416">
        <f t="shared" si="5"/>
        <v>18.511627681591996</v>
      </c>
      <c r="L42" s="115">
        <f>VLOOKUP(A42,체크카드!$A$5:$D$44,2,FALSE)</f>
        <v>36364</v>
      </c>
      <c r="M42" s="115">
        <f>VLOOKUP(A42,체크카드!$A$5:$D$44,3,FALSE)</f>
        <v>21143.591</v>
      </c>
      <c r="N42" s="415">
        <f t="shared" si="6"/>
        <v>58.144293807061928</v>
      </c>
      <c r="O42" s="415">
        <f t="shared" si="7"/>
        <v>1.1133873243484391</v>
      </c>
      <c r="P42" s="416">
        <f t="shared" si="8"/>
        <v>11.7192084511672</v>
      </c>
      <c r="Q42" s="416">
        <f t="shared" si="9"/>
        <v>12.832595775515639</v>
      </c>
      <c r="R42" s="115">
        <f>VLOOKUP(A42,스마트금융!$A$5:$D$45,2,FALSE)</f>
        <v>1064</v>
      </c>
      <c r="S42" s="115">
        <f>VLOOKUP(A42,스마트금융!$A$5:$D$45,3,FALSE)</f>
        <v>1025</v>
      </c>
      <c r="T42" s="415">
        <f t="shared" si="10"/>
        <v>96.334586466165419</v>
      </c>
      <c r="U42" s="415">
        <f t="shared" si="11"/>
        <v>0.60942981152268272</v>
      </c>
      <c r="V42" s="416">
        <f t="shared" si="12"/>
        <v>9.4653560466296636</v>
      </c>
      <c r="W42" s="415">
        <f t="shared" si="13"/>
        <v>10.074785858152346</v>
      </c>
      <c r="X42" s="415">
        <f t="shared" si="14"/>
        <v>50.642166227277592</v>
      </c>
      <c r="Y42" s="460">
        <f t="shared" si="15"/>
        <v>40</v>
      </c>
      <c r="Z42" s="418"/>
    </row>
    <row r="43" spans="1:28">
      <c r="A43" s="132" t="s">
        <v>106</v>
      </c>
      <c r="B43" s="414">
        <f>VLOOKUP(A43,총수신고!$C$6:$I$45,2,FALSE)</f>
        <v>102733</v>
      </c>
      <c r="C43" s="414">
        <f>VLOOKUP(A43,총수신고!$C$6:$I$45,4,FALSE)</f>
        <v>109709.76779699999</v>
      </c>
      <c r="D43" s="415">
        <f t="shared" si="0"/>
        <v>106.79116525069841</v>
      </c>
      <c r="E43" s="416">
        <f t="shared" si="1"/>
        <v>8.9845777469382462</v>
      </c>
      <c r="F43" s="115">
        <f>VLOOKUP(A43,총수신고!$M$6:$U$45,2,FALSE)</f>
        <v>21628</v>
      </c>
      <c r="G43" s="115">
        <f>VLOOKUP(A43,총수신고!$M$6:$U$45,4,FALSE)</f>
        <v>21252.886484999999</v>
      </c>
      <c r="H43" s="415">
        <f t="shared" si="2"/>
        <v>98.265611637691876</v>
      </c>
      <c r="I43" s="415">
        <f t="shared" si="3"/>
        <v>3.3224156784913608</v>
      </c>
      <c r="J43" s="416">
        <f t="shared" si="4"/>
        <v>17.541068459110782</v>
      </c>
      <c r="K43" s="416">
        <f t="shared" si="5"/>
        <v>20.863484137602143</v>
      </c>
      <c r="L43" s="115">
        <f>VLOOKUP(A43,체크카드!$A$5:$D$44,2,FALSE)</f>
        <v>103189</v>
      </c>
      <c r="M43" s="115">
        <f>VLOOKUP(A43,체크카드!$A$5:$D$44,3,FALSE)</f>
        <v>51777.803</v>
      </c>
      <c r="N43" s="415">
        <f t="shared" si="6"/>
        <v>50.17763812034228</v>
      </c>
      <c r="O43" s="415">
        <f t="shared" si="7"/>
        <v>2.7265354093734877</v>
      </c>
      <c r="P43" s="416">
        <f t="shared" si="8"/>
        <v>10.113498027352493</v>
      </c>
      <c r="Q43" s="416">
        <f t="shared" si="9"/>
        <v>12.840033436725982</v>
      </c>
      <c r="R43" s="115">
        <f>VLOOKUP(A43,스마트금융!$A$5:$D$45,2,FALSE)</f>
        <v>3723</v>
      </c>
      <c r="S43" s="115">
        <f>VLOOKUP(A43,스마트금융!$A$5:$D$45,3,FALSE)</f>
        <v>3665</v>
      </c>
      <c r="T43" s="415">
        <f t="shared" si="10"/>
        <v>98.44211657265646</v>
      </c>
      <c r="U43" s="415">
        <f t="shared" si="11"/>
        <v>2.1790831797372019</v>
      </c>
      <c r="V43" s="416">
        <f t="shared" si="12"/>
        <v>9.6724314446637365</v>
      </c>
      <c r="W43" s="415">
        <f t="shared" si="13"/>
        <v>11.851514624400938</v>
      </c>
      <c r="X43" s="415">
        <f t="shared" si="14"/>
        <v>54.539609945667308</v>
      </c>
      <c r="Y43" s="460">
        <f t="shared" si="15"/>
        <v>33</v>
      </c>
      <c r="Z43" s="418"/>
    </row>
    <row r="44" spans="1:28">
      <c r="A44" s="132" t="s">
        <v>107</v>
      </c>
      <c r="B44" s="414">
        <f>VLOOKUP(A44,총수신고!$C$6:$I$45,2,FALSE)</f>
        <v>98016</v>
      </c>
      <c r="C44" s="414">
        <f>VLOOKUP(A44,총수신고!$C$6:$I$45,4,FALSE)</f>
        <v>101580.36300100001</v>
      </c>
      <c r="D44" s="415">
        <f t="shared" si="0"/>
        <v>103.63651138691642</v>
      </c>
      <c r="E44" s="416">
        <f t="shared" si="1"/>
        <v>8.7191697158778965</v>
      </c>
      <c r="F44" s="115">
        <f>VLOOKUP(A44,총수신고!$M$6:$U$45,2,FALSE)</f>
        <v>20444</v>
      </c>
      <c r="G44" s="115">
        <f>VLOOKUP(A44,총수신고!$M$6:$U$45,4,FALSE)</f>
        <v>20040.048232000001</v>
      </c>
      <c r="H44" s="415">
        <f t="shared" si="2"/>
        <v>98.024106006652318</v>
      </c>
      <c r="I44" s="415">
        <f t="shared" si="3"/>
        <v>3.1328154173651712</v>
      </c>
      <c r="J44" s="416">
        <f t="shared" si="4"/>
        <v>17.497958089809416</v>
      </c>
      <c r="K44" s="416">
        <f t="shared" si="5"/>
        <v>20.630773507174588</v>
      </c>
      <c r="L44" s="115">
        <f>VLOOKUP(A44,체크카드!$A$5:$D$44,2,FALSE)</f>
        <v>75365</v>
      </c>
      <c r="M44" s="115">
        <f>VLOOKUP(A44,체크카드!$A$5:$D$44,3,FALSE)</f>
        <v>37605.264000000003</v>
      </c>
      <c r="N44" s="415">
        <f>(M44/L44)*100</f>
        <v>49.897517415245808</v>
      </c>
      <c r="O44" s="415">
        <f t="shared" si="7"/>
        <v>1.9802324149373061</v>
      </c>
      <c r="P44" s="416">
        <f t="shared" si="8"/>
        <v>10.057038610278711</v>
      </c>
      <c r="Q44" s="416">
        <f t="shared" si="9"/>
        <v>12.037271025216018</v>
      </c>
      <c r="R44" s="115">
        <f>VLOOKUP(A44,스마트금융!$A$5:$D$45,2,FALSE)</f>
        <v>2681</v>
      </c>
      <c r="S44" s="115">
        <f>VLOOKUP(A44,스마트금융!$A$5:$D$45,3,FALSE)</f>
        <v>2652</v>
      </c>
      <c r="T44" s="415">
        <f t="shared" si="10"/>
        <v>98.918314061917187</v>
      </c>
      <c r="U44" s="415">
        <f t="shared" si="11"/>
        <v>1.576788156251858</v>
      </c>
      <c r="V44" s="416">
        <f t="shared" si="12"/>
        <v>9.7192202351667909</v>
      </c>
      <c r="W44" s="415">
        <f t="shared" si="13"/>
        <v>11.296008391418649</v>
      </c>
      <c r="X44" s="415">
        <f t="shared" si="14"/>
        <v>52.683222639687159</v>
      </c>
      <c r="Y44" s="460">
        <f t="shared" si="15"/>
        <v>39</v>
      </c>
      <c r="Z44" s="418"/>
    </row>
    <row r="45" spans="1:28" ht="17.25" thickBot="1">
      <c r="A45" s="133" t="s">
        <v>108</v>
      </c>
      <c r="B45" s="414"/>
      <c r="C45" s="414"/>
      <c r="F45" s="115"/>
      <c r="G45" s="115"/>
      <c r="L45" s="115"/>
      <c r="M45" s="115"/>
      <c r="Z45" s="1">
        <v>361078</v>
      </c>
      <c r="AA45" s="1">
        <v>222000</v>
      </c>
      <c r="AB45" s="1">
        <f>SUM(Z45:AA45)</f>
        <v>583078</v>
      </c>
    </row>
    <row r="46" spans="1:28">
      <c r="L46" s="115"/>
      <c r="M46" s="115"/>
    </row>
    <row r="47" spans="1:28">
      <c r="L47" s="115"/>
      <c r="M47" s="115"/>
      <c r="Z47" s="418">
        <f>SUM(Z4:Z44)</f>
        <v>0</v>
      </c>
    </row>
  </sheetData>
  <mergeCells count="8">
    <mergeCell ref="AA2:AA3"/>
    <mergeCell ref="F2:J2"/>
    <mergeCell ref="L2:Q2"/>
    <mergeCell ref="R2:W2"/>
    <mergeCell ref="A2:A3"/>
    <mergeCell ref="E2:E3"/>
    <mergeCell ref="B2:D2"/>
    <mergeCell ref="Z2:Z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J48"/>
  <sheetViews>
    <sheetView workbookViewId="0">
      <selection activeCell="F8" sqref="F8"/>
    </sheetView>
  </sheetViews>
  <sheetFormatPr defaultRowHeight="16.5"/>
  <cols>
    <col min="1" max="1" width="9" style="1"/>
    <col min="2" max="2" width="10.75" style="1" customWidth="1"/>
    <col min="3" max="3" width="11.375" style="1" customWidth="1"/>
    <col min="4" max="4" width="8.125" style="1" customWidth="1"/>
    <col min="5" max="5" width="10.75" style="1" customWidth="1"/>
    <col min="6" max="6" width="11.5" style="1" customWidth="1"/>
    <col min="7" max="7" width="10.75" style="1" customWidth="1"/>
    <col min="8" max="8" width="9" style="1" customWidth="1"/>
    <col min="9" max="9" width="10.5" style="1" customWidth="1"/>
    <col min="10" max="10" width="10.625" style="1" customWidth="1"/>
    <col min="11" max="11" width="9" style="1" customWidth="1"/>
    <col min="12" max="13" width="10.875" style="1" bestFit="1" customWidth="1"/>
    <col min="14" max="14" width="9" style="1" customWidth="1"/>
    <col min="15" max="16" width="9" style="1"/>
    <col min="17" max="17" width="11.5" style="1" customWidth="1"/>
    <col min="18" max="20" width="9" style="1" customWidth="1"/>
    <col min="21" max="22" width="9" style="1"/>
    <col min="23" max="23" width="11.625" style="1" customWidth="1"/>
    <col min="24" max="24" width="12" style="1" customWidth="1"/>
    <col min="25" max="25" width="9" style="114"/>
    <col min="26" max="27" width="18.5" style="1" customWidth="1"/>
    <col min="28" max="36" width="9" style="439"/>
    <col min="37" max="16384" width="9" style="1"/>
  </cols>
  <sheetData>
    <row r="1" spans="1:27" ht="33.75">
      <c r="A1" s="585" t="s">
        <v>306</v>
      </c>
      <c r="B1" s="585"/>
      <c r="C1" s="585"/>
      <c r="D1" s="585"/>
      <c r="E1" s="585"/>
      <c r="F1" s="585"/>
      <c r="G1" s="585"/>
      <c r="H1" s="585"/>
      <c r="I1" s="585"/>
      <c r="J1" s="585"/>
      <c r="K1" s="585"/>
      <c r="L1" s="585"/>
      <c r="M1" s="585"/>
      <c r="N1" s="585"/>
      <c r="O1" s="585"/>
      <c r="P1" s="585"/>
      <c r="Q1" s="585"/>
      <c r="R1" s="585"/>
      <c r="S1" s="585"/>
      <c r="T1" s="585"/>
      <c r="U1" s="585"/>
      <c r="V1" s="585"/>
      <c r="W1" s="585"/>
      <c r="X1" s="585"/>
      <c r="Y1" s="585"/>
      <c r="Z1" s="585"/>
      <c r="AA1" s="585"/>
    </row>
    <row r="2" spans="1:27" ht="15.75" customHeight="1" thickBo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99" t="s">
        <v>315</v>
      </c>
      <c r="AA2" s="599"/>
    </row>
    <row r="3" spans="1:27" ht="16.5" customHeight="1">
      <c r="A3" s="589" t="s">
        <v>83</v>
      </c>
      <c r="B3" s="586" t="s">
        <v>233</v>
      </c>
      <c r="C3" s="587"/>
      <c r="D3" s="587"/>
      <c r="E3" s="588"/>
      <c r="F3" s="596" t="s">
        <v>235</v>
      </c>
      <c r="G3" s="597"/>
      <c r="H3" s="597"/>
      <c r="I3" s="597"/>
      <c r="J3" s="597"/>
      <c r="K3" s="598"/>
      <c r="L3" s="591" t="s">
        <v>236</v>
      </c>
      <c r="M3" s="591"/>
      <c r="N3" s="591"/>
      <c r="O3" s="591"/>
      <c r="P3" s="591"/>
      <c r="Q3" s="591"/>
      <c r="R3" s="592" t="s">
        <v>237</v>
      </c>
      <c r="S3" s="592"/>
      <c r="T3" s="592"/>
      <c r="U3" s="592"/>
      <c r="V3" s="592"/>
      <c r="W3" s="592"/>
      <c r="X3" s="593" t="s">
        <v>302</v>
      </c>
      <c r="Y3" s="595" t="s">
        <v>72</v>
      </c>
      <c r="Z3" s="562" t="s">
        <v>307</v>
      </c>
      <c r="AA3" s="564" t="s">
        <v>308</v>
      </c>
    </row>
    <row r="4" spans="1:27" ht="45.75" customHeight="1">
      <c r="A4" s="590"/>
      <c r="B4" s="507" t="s">
        <v>230</v>
      </c>
      <c r="C4" s="507" t="s">
        <v>231</v>
      </c>
      <c r="D4" s="507" t="s">
        <v>232</v>
      </c>
      <c r="E4" s="525" t="s">
        <v>321</v>
      </c>
      <c r="F4" s="491" t="s">
        <v>230</v>
      </c>
      <c r="G4" s="491" t="s">
        <v>231</v>
      </c>
      <c r="H4" s="491" t="s">
        <v>232</v>
      </c>
      <c r="I4" s="492" t="s">
        <v>247</v>
      </c>
      <c r="J4" s="492" t="s">
        <v>256</v>
      </c>
      <c r="K4" s="525" t="s">
        <v>318</v>
      </c>
      <c r="L4" s="489" t="s">
        <v>316</v>
      </c>
      <c r="M4" s="489" t="s">
        <v>317</v>
      </c>
      <c r="N4" s="508" t="s">
        <v>232</v>
      </c>
      <c r="O4" s="489" t="s">
        <v>249</v>
      </c>
      <c r="P4" s="489" t="s">
        <v>257</v>
      </c>
      <c r="Q4" s="525" t="s">
        <v>319</v>
      </c>
      <c r="R4" s="509" t="s">
        <v>230</v>
      </c>
      <c r="S4" s="509" t="s">
        <v>231</v>
      </c>
      <c r="T4" s="509" t="s">
        <v>232</v>
      </c>
      <c r="U4" s="490" t="s">
        <v>253</v>
      </c>
      <c r="V4" s="490" t="s">
        <v>258</v>
      </c>
      <c r="W4" s="525" t="s">
        <v>320</v>
      </c>
      <c r="X4" s="594"/>
      <c r="Y4" s="594"/>
      <c r="Z4" s="563"/>
      <c r="AA4" s="565"/>
    </row>
    <row r="5" spans="1:27">
      <c r="A5" s="132" t="s">
        <v>31</v>
      </c>
      <c r="B5" s="443">
        <f>VLOOKUP(A5,총수신고!$C$6:$I$45,2,FALSE)</f>
        <v>451356</v>
      </c>
      <c r="C5" s="443">
        <f>VLOOKUP(A5,총수신고!$C$6:$I$45,4,FALSE)</f>
        <v>473815.45544799999</v>
      </c>
      <c r="D5" s="444">
        <f t="shared" ref="D5:D46" si="0">(C5/B5)*100</f>
        <v>104.97599576564841</v>
      </c>
      <c r="E5" s="472">
        <f t="shared" ref="E5:E45" si="1">D5*10/MAX($D$5:$D$45)</f>
        <v>8.8318635095383957</v>
      </c>
      <c r="F5" s="446">
        <f>VLOOKUP(A5,총수신고!$M$6:$U$45,2,FALSE)</f>
        <v>119184</v>
      </c>
      <c r="G5" s="446">
        <f>VLOOKUP(A5,총수신고!$M$6:$U$45,4,FALSE)</f>
        <v>127936.348378</v>
      </c>
      <c r="H5" s="444">
        <f t="shared" ref="H5:H46" si="2">(G5/F5)*100</f>
        <v>107.34355985534971</v>
      </c>
      <c r="I5" s="444">
        <f t="shared" ref="I5:I45" si="3">G5*20/MAX($G$5:$G$45)</f>
        <v>20</v>
      </c>
      <c r="J5" s="475">
        <f t="shared" ref="J5:J45" si="4">H5*20/MAX($H$5:$H$45)</f>
        <v>19.161542890606814</v>
      </c>
      <c r="K5" s="472">
        <f t="shared" ref="K5:K45" si="5">SUM(I5:J5)</f>
        <v>39.16154289060681</v>
      </c>
      <c r="L5" s="446">
        <f>VLOOKUP(A5,체크카드!$A$5:$D$44,2,FALSE)</f>
        <v>471032</v>
      </c>
      <c r="M5" s="446">
        <f>VLOOKUP(A5,체크카드!$A$5:$D$44,3,FALSE)</f>
        <v>237153.94399999999</v>
      </c>
      <c r="N5" s="444">
        <f t="shared" ref="N5:N46" si="6">(M5/L5)*100</f>
        <v>50.34773518571987</v>
      </c>
      <c r="O5" s="527">
        <f t="shared" ref="O5:O45" si="7">M5*15/MAX($M$5:$M$45)</f>
        <v>12.488143341821148</v>
      </c>
      <c r="P5" s="475">
        <f t="shared" ref="P5:P45" si="8">N5*15/MAX($N$5:$N$45)</f>
        <v>10.147781752127042</v>
      </c>
      <c r="Q5" s="472">
        <f t="shared" ref="Q5:Q45" si="9">SUM(O5:P5)</f>
        <v>22.635925093948188</v>
      </c>
      <c r="R5" s="446">
        <f>VLOOKUP(A5,스마트금융!$A$5:$D$45,2,FALSE)</f>
        <v>17231</v>
      </c>
      <c r="S5" s="446">
        <f>VLOOKUP(A5,스마트금융!$A$5:$D$45,3,FALSE)</f>
        <v>16819</v>
      </c>
      <c r="T5" s="444">
        <f t="shared" ref="T5:T46" si="10">(S5/R5)*100</f>
        <v>97.608960594277761</v>
      </c>
      <c r="U5" s="444">
        <f t="shared" ref="U5:U45" si="11">S5*10/MAX($S$5:$S$45)</f>
        <v>10</v>
      </c>
      <c r="V5" s="475">
        <f t="shared" ref="V5:V45" si="12">T5*10/MAX($T$5:$T$45)</f>
        <v>9.5905696931680531</v>
      </c>
      <c r="W5" s="478">
        <f t="shared" ref="W5:W45" si="13">SUM(U5:V5)</f>
        <v>19.590569693168053</v>
      </c>
      <c r="X5" s="505">
        <f t="shared" ref="X5:X45" si="14">SUM(E5,K5,Q5,W5)</f>
        <v>90.219901187261442</v>
      </c>
      <c r="Y5" s="461">
        <f t="shared" ref="Y5:Y45" si="15">RANK(X5,$X$5:$X$45)</f>
        <v>1</v>
      </c>
      <c r="Z5" s="443">
        <v>11000</v>
      </c>
      <c r="AA5" s="510">
        <v>7000</v>
      </c>
    </row>
    <row r="6" spans="1:27">
      <c r="A6" s="132" t="s">
        <v>42</v>
      </c>
      <c r="B6" s="443">
        <f>VLOOKUP(A6,총수신고!$C$6:$I$45,2,FALSE)</f>
        <v>311482</v>
      </c>
      <c r="C6" s="443">
        <f>VLOOKUP(A6,총수신고!$C$6:$I$45,4,FALSE)</f>
        <v>330344.58960399998</v>
      </c>
      <c r="D6" s="444">
        <f t="shared" si="0"/>
        <v>106.05575590371193</v>
      </c>
      <c r="E6" s="472">
        <f t="shared" si="1"/>
        <v>8.9227061263944112</v>
      </c>
      <c r="F6" s="446">
        <f>VLOOKUP(A6,총수신고!$M$6:$U$45,2,FALSE)</f>
        <v>88189</v>
      </c>
      <c r="G6" s="446">
        <f>VLOOKUP(A6,총수신고!$M$6:$U$45,4,FALSE)</f>
        <v>87545.718449000007</v>
      </c>
      <c r="H6" s="444">
        <f t="shared" si="2"/>
        <v>99.270564865232629</v>
      </c>
      <c r="I6" s="444">
        <f t="shared" si="3"/>
        <v>13.685824170991333</v>
      </c>
      <c r="J6" s="475">
        <f t="shared" si="4"/>
        <v>17.720459327072724</v>
      </c>
      <c r="K6" s="472">
        <f t="shared" si="5"/>
        <v>31.406283498064056</v>
      </c>
      <c r="L6" s="446">
        <f>VLOOKUP(A6,체크카드!$A$5:$D$44,2,FALSE)</f>
        <v>492000</v>
      </c>
      <c r="M6" s="446">
        <f>VLOOKUP(A6,체크카드!$A$5:$D$44,3,FALSE)</f>
        <v>284854.92700000003</v>
      </c>
      <c r="N6" s="444">
        <f t="shared" si="6"/>
        <v>57.897342886178869</v>
      </c>
      <c r="O6" s="527">
        <f t="shared" si="7"/>
        <v>15</v>
      </c>
      <c r="P6" s="475">
        <f t="shared" si="8"/>
        <v>11.669434533048259</v>
      </c>
      <c r="Q6" s="472">
        <f t="shared" si="9"/>
        <v>26.669434533048261</v>
      </c>
      <c r="R6" s="446">
        <f>VLOOKUP(A6,스마트금융!$A$5:$D$45,2,FALSE)</f>
        <v>14498</v>
      </c>
      <c r="S6" s="446">
        <f>VLOOKUP(A6,스마트금융!$A$5:$D$45,3,FALSE)</f>
        <v>13966</v>
      </c>
      <c r="T6" s="444">
        <f t="shared" si="10"/>
        <v>96.330528348737758</v>
      </c>
      <c r="U6" s="444">
        <f t="shared" si="11"/>
        <v>8.3037041441227188</v>
      </c>
      <c r="V6" s="475">
        <f t="shared" si="12"/>
        <v>9.4649573162490075</v>
      </c>
      <c r="W6" s="478">
        <f t="shared" si="13"/>
        <v>17.768661460371725</v>
      </c>
      <c r="X6" s="505">
        <f t="shared" si="14"/>
        <v>84.76708561787845</v>
      </c>
      <c r="Y6" s="461">
        <f t="shared" si="15"/>
        <v>2</v>
      </c>
      <c r="Z6" s="443">
        <v>11000</v>
      </c>
      <c r="AA6" s="510">
        <v>7000</v>
      </c>
    </row>
    <row r="7" spans="1:27">
      <c r="A7" s="132" t="s">
        <v>41</v>
      </c>
      <c r="B7" s="443">
        <f>VLOOKUP(A7,총수신고!$C$6:$I$45,2,FALSE)</f>
        <v>434890</v>
      </c>
      <c r="C7" s="443">
        <f>VLOOKUP(A7,총수신고!$C$6:$I$45,4,FALSE)</f>
        <v>461871.71724099998</v>
      </c>
      <c r="D7" s="444">
        <f t="shared" si="0"/>
        <v>106.20426251258938</v>
      </c>
      <c r="E7" s="472">
        <f t="shared" si="1"/>
        <v>8.9352003169977401</v>
      </c>
      <c r="F7" s="446">
        <f>VLOOKUP(A7,총수신고!$M$6:$U$45,2,FALSE)</f>
        <v>103016</v>
      </c>
      <c r="G7" s="446">
        <f>VLOOKUP(A7,총수신고!$M$6:$U$45,4,FALSE)</f>
        <v>105215.500635</v>
      </c>
      <c r="H7" s="444">
        <f t="shared" si="2"/>
        <v>102.13510584278171</v>
      </c>
      <c r="I7" s="444">
        <f t="shared" si="3"/>
        <v>16.448101257999156</v>
      </c>
      <c r="J7" s="475">
        <f t="shared" si="4"/>
        <v>18.231799037411871</v>
      </c>
      <c r="K7" s="472">
        <f t="shared" si="5"/>
        <v>34.679900295411031</v>
      </c>
      <c r="L7" s="446">
        <f>VLOOKUP(A7,체크카드!$A$5:$D$44,2,FALSE)</f>
        <v>375649</v>
      </c>
      <c r="M7" s="446">
        <f>VLOOKUP(A7,체크카드!$A$5:$D$44,3,FALSE)</f>
        <v>187597.43100000001</v>
      </c>
      <c r="N7" s="444">
        <f t="shared" si="6"/>
        <v>49.939552880481514</v>
      </c>
      <c r="O7" s="527">
        <f t="shared" si="7"/>
        <v>9.878577473227276</v>
      </c>
      <c r="P7" s="475">
        <f t="shared" si="8"/>
        <v>10.065511021708691</v>
      </c>
      <c r="Q7" s="472">
        <f t="shared" si="9"/>
        <v>19.944088494935968</v>
      </c>
      <c r="R7" s="446">
        <f>VLOOKUP(A7,스마트금융!$A$5:$D$45,2,FALSE)</f>
        <v>15679</v>
      </c>
      <c r="S7" s="446">
        <f>VLOOKUP(A7,스마트금융!$A$5:$D$45,3,FALSE)</f>
        <v>15720</v>
      </c>
      <c r="T7" s="444">
        <f t="shared" si="10"/>
        <v>100.26149626889469</v>
      </c>
      <c r="U7" s="444">
        <f t="shared" si="11"/>
        <v>9.3465723289137284</v>
      </c>
      <c r="V7" s="475">
        <f t="shared" si="12"/>
        <v>9.8511946203893324</v>
      </c>
      <c r="W7" s="478">
        <f t="shared" si="13"/>
        <v>19.197766949303059</v>
      </c>
      <c r="X7" s="505">
        <f t="shared" si="14"/>
        <v>82.756956056647795</v>
      </c>
      <c r="Y7" s="461">
        <f t="shared" si="15"/>
        <v>3</v>
      </c>
      <c r="Z7" s="443">
        <v>11000</v>
      </c>
      <c r="AA7" s="510">
        <v>7000</v>
      </c>
    </row>
    <row r="8" spans="1:27">
      <c r="A8" s="132" t="s">
        <v>28</v>
      </c>
      <c r="B8" s="443">
        <f>VLOOKUP(A8,총수신고!$C$6:$I$45,2,FALSE)</f>
        <v>317089</v>
      </c>
      <c r="C8" s="443">
        <f>VLOOKUP(A8,총수신고!$C$6:$I$45,4,FALSE)</f>
        <v>331940.03623899998</v>
      </c>
      <c r="D8" s="444">
        <f t="shared" si="0"/>
        <v>104.68355453484668</v>
      </c>
      <c r="E8" s="472">
        <f t="shared" si="1"/>
        <v>8.8072597797412726</v>
      </c>
      <c r="F8" s="446">
        <f>VLOOKUP(A8,총수신고!$M$6:$U$45,2,FALSE)</f>
        <v>73235</v>
      </c>
      <c r="G8" s="446">
        <f>VLOOKUP(A8,총수신고!$M$6:$U$45,4,FALSE)</f>
        <v>68177.165401999999</v>
      </c>
      <c r="H8" s="444">
        <f t="shared" si="2"/>
        <v>93.09369208984775</v>
      </c>
      <c r="I8" s="444">
        <f t="shared" si="3"/>
        <v>10.657982077237994</v>
      </c>
      <c r="J8" s="475">
        <f t="shared" si="4"/>
        <v>16.617846252055905</v>
      </c>
      <c r="K8" s="472">
        <f t="shared" si="5"/>
        <v>27.275828329293901</v>
      </c>
      <c r="L8" s="446">
        <f>VLOOKUP(A8,체크카드!$A$5:$D$44,2,FALSE)</f>
        <v>302599</v>
      </c>
      <c r="M8" s="446">
        <f>VLOOKUP(A8,체크카드!$A$5:$D$44,3,FALSE)</f>
        <v>225199.576</v>
      </c>
      <c r="N8" s="444">
        <f t="shared" si="6"/>
        <v>74.42178460602976</v>
      </c>
      <c r="O8" s="527">
        <f t="shared" si="7"/>
        <v>11.858645646666311</v>
      </c>
      <c r="P8" s="475">
        <f t="shared" si="8"/>
        <v>14.999999999999998</v>
      </c>
      <c r="Q8" s="472">
        <f t="shared" si="9"/>
        <v>26.858645646666311</v>
      </c>
      <c r="R8" s="446">
        <f>VLOOKUP(A8,스마트금융!$A$5:$D$45,2,FALSE)</f>
        <v>10583</v>
      </c>
      <c r="S8" s="446">
        <f>VLOOKUP(A8,스마트금융!$A$5:$D$45,3,FALSE)</f>
        <v>10145</v>
      </c>
      <c r="T8" s="444">
        <f t="shared" si="10"/>
        <v>95.861286969668342</v>
      </c>
      <c r="U8" s="444">
        <f t="shared" si="11"/>
        <v>6.0318687199001131</v>
      </c>
      <c r="V8" s="475">
        <f t="shared" si="12"/>
        <v>9.418851998443305</v>
      </c>
      <c r="W8" s="478">
        <f t="shared" si="13"/>
        <v>15.450720718343419</v>
      </c>
      <c r="X8" s="505">
        <f t="shared" si="14"/>
        <v>78.392454474044911</v>
      </c>
      <c r="Y8" s="461">
        <f t="shared" si="15"/>
        <v>4</v>
      </c>
      <c r="Z8" s="443">
        <v>11000</v>
      </c>
      <c r="AA8" s="510">
        <v>7000</v>
      </c>
    </row>
    <row r="9" spans="1:27">
      <c r="A9" s="132" t="s">
        <v>92</v>
      </c>
      <c r="B9" s="443">
        <f>VLOOKUP(A9,총수신고!$C$6:$I$45,2,FALSE)</f>
        <v>364169</v>
      </c>
      <c r="C9" s="443">
        <f>VLOOKUP(A9,총수신고!$C$6:$I$45,4,FALSE)</f>
        <v>385837.57888500002</v>
      </c>
      <c r="D9" s="444">
        <f t="shared" si="0"/>
        <v>105.9501437203606</v>
      </c>
      <c r="E9" s="472">
        <f t="shared" si="1"/>
        <v>8.9138207390113227</v>
      </c>
      <c r="F9" s="446">
        <f>VLOOKUP(A9,총수신고!$M$6:$U$45,2,FALSE)</f>
        <v>85242</v>
      </c>
      <c r="G9" s="446">
        <f>VLOOKUP(A9,총수신고!$M$6:$U$45,4,FALSE)</f>
        <v>85783.332934999999</v>
      </c>
      <c r="H9" s="444">
        <f t="shared" si="2"/>
        <v>100.63505423969406</v>
      </c>
      <c r="I9" s="444">
        <f t="shared" si="3"/>
        <v>13.410314429413768</v>
      </c>
      <c r="J9" s="475">
        <f t="shared" si="4"/>
        <v>17.964029800306072</v>
      </c>
      <c r="K9" s="472">
        <f t="shared" si="5"/>
        <v>31.374344229719838</v>
      </c>
      <c r="L9" s="446">
        <f>VLOOKUP(A9,체크카드!$A$5:$D$44,2,FALSE)</f>
        <v>370979</v>
      </c>
      <c r="M9" s="446">
        <f>VLOOKUP(A9,체크카드!$A$5:$D$44,3,FALSE)</f>
        <v>188527.18599999999</v>
      </c>
      <c r="N9" s="444">
        <f t="shared" si="6"/>
        <v>50.818829637257089</v>
      </c>
      <c r="O9" s="527">
        <f t="shared" si="7"/>
        <v>9.9275368686180379</v>
      </c>
      <c r="P9" s="475">
        <f t="shared" si="8"/>
        <v>10.242732670201182</v>
      </c>
      <c r="Q9" s="472">
        <f t="shared" si="9"/>
        <v>20.17026953881922</v>
      </c>
      <c r="R9" s="446">
        <f>VLOOKUP(A9,스마트금융!$A$5:$D$45,2,FALSE)</f>
        <v>10119</v>
      </c>
      <c r="S9" s="446">
        <f>VLOOKUP(A9,스마트금융!$A$5:$D$45,3,FALSE)</f>
        <v>9936</v>
      </c>
      <c r="T9" s="444">
        <f t="shared" si="10"/>
        <v>98.191520901274828</v>
      </c>
      <c r="U9" s="444">
        <f t="shared" si="11"/>
        <v>5.9076044949164634</v>
      </c>
      <c r="V9" s="475">
        <f t="shared" si="12"/>
        <v>9.647809163711667</v>
      </c>
      <c r="W9" s="478">
        <f t="shared" si="13"/>
        <v>15.55541365862813</v>
      </c>
      <c r="X9" s="505">
        <f t="shared" si="14"/>
        <v>76.013848166178505</v>
      </c>
      <c r="Y9" s="461">
        <f t="shared" si="15"/>
        <v>5</v>
      </c>
      <c r="Z9" s="443">
        <v>11000</v>
      </c>
      <c r="AA9" s="510">
        <v>7000</v>
      </c>
    </row>
    <row r="10" spans="1:27">
      <c r="A10" s="132" t="s">
        <v>39</v>
      </c>
      <c r="B10" s="443">
        <f>VLOOKUP(A10,총수신고!$C$6:$I$45,2,FALSE)</f>
        <v>354661</v>
      </c>
      <c r="C10" s="443">
        <f>VLOOKUP(A10,총수신고!$C$6:$I$45,4,FALSE)</f>
        <v>378428.31660100003</v>
      </c>
      <c r="D10" s="444">
        <f t="shared" si="0"/>
        <v>106.70141814324101</v>
      </c>
      <c r="E10" s="472">
        <f t="shared" si="1"/>
        <v>8.9770271236013723</v>
      </c>
      <c r="F10" s="446">
        <f>VLOOKUP(A10,총수신고!$M$6:$U$45,2,FALSE)</f>
        <v>88844</v>
      </c>
      <c r="G10" s="446">
        <f>VLOOKUP(A10,총수신고!$M$6:$U$45,4,FALSE)</f>
        <v>89468.126504999993</v>
      </c>
      <c r="H10" s="444">
        <f t="shared" si="2"/>
        <v>100.70249707914995</v>
      </c>
      <c r="I10" s="444">
        <f t="shared" si="3"/>
        <v>13.986349874651413</v>
      </c>
      <c r="J10" s="475">
        <f t="shared" si="4"/>
        <v>17.976068797919343</v>
      </c>
      <c r="K10" s="472">
        <f t="shared" si="5"/>
        <v>31.962418672570756</v>
      </c>
      <c r="L10" s="446">
        <f>VLOOKUP(A10,체크카드!$A$5:$D$44,2,FALSE)</f>
        <v>319800</v>
      </c>
      <c r="M10" s="446">
        <f>VLOOKUP(A10,체크카드!$A$5:$D$44,3,FALSE)</f>
        <v>155942.79699999999</v>
      </c>
      <c r="N10" s="444">
        <f t="shared" si="6"/>
        <v>48.762600687929954</v>
      </c>
      <c r="O10" s="527">
        <f t="shared" si="7"/>
        <v>8.2116956151507949</v>
      </c>
      <c r="P10" s="475">
        <f t="shared" si="8"/>
        <v>9.8282917319304257</v>
      </c>
      <c r="Q10" s="472">
        <f t="shared" si="9"/>
        <v>18.039987347081222</v>
      </c>
      <c r="R10" s="446">
        <f>VLOOKUP(A10,스마트금융!$A$5:$D$45,2,FALSE)</f>
        <v>10603</v>
      </c>
      <c r="S10" s="446">
        <f>VLOOKUP(A10,스마트금융!$A$5:$D$45,3,FALSE)</f>
        <v>10492</v>
      </c>
      <c r="T10" s="444">
        <f t="shared" si="10"/>
        <v>98.953126473639543</v>
      </c>
      <c r="U10" s="444">
        <f t="shared" si="11"/>
        <v>6.2381830073131574</v>
      </c>
      <c r="V10" s="475">
        <f t="shared" si="12"/>
        <v>9.7226407291335111</v>
      </c>
      <c r="W10" s="478">
        <f t="shared" si="13"/>
        <v>15.960823736446669</v>
      </c>
      <c r="X10" s="505">
        <f t="shared" si="14"/>
        <v>74.940256879700016</v>
      </c>
      <c r="Y10" s="461">
        <f t="shared" si="15"/>
        <v>6</v>
      </c>
      <c r="Z10" s="443">
        <v>10400</v>
      </c>
      <c r="AA10" s="510">
        <v>6500</v>
      </c>
    </row>
    <row r="11" spans="1:27">
      <c r="A11" s="132" t="s">
        <v>86</v>
      </c>
      <c r="B11" s="443">
        <f>VLOOKUP(A11,총수신고!$C$6:$I$45,2,FALSE)</f>
        <v>335902</v>
      </c>
      <c r="C11" s="443">
        <f>VLOOKUP(A11,총수신고!$C$6:$I$45,4,FALSE)</f>
        <v>352795.65870099998</v>
      </c>
      <c r="D11" s="444">
        <f t="shared" si="0"/>
        <v>105.02934150466506</v>
      </c>
      <c r="E11" s="472">
        <f t="shared" si="1"/>
        <v>8.836351604958443</v>
      </c>
      <c r="F11" s="446">
        <f>VLOOKUP(A11,총수신고!$M$6:$U$45,2,FALSE)</f>
        <v>82878</v>
      </c>
      <c r="G11" s="446">
        <f>VLOOKUP(A11,총수신고!$M$6:$U$45,4,FALSE)</f>
        <v>82572.820999999996</v>
      </c>
      <c r="H11" s="444">
        <f t="shared" si="2"/>
        <v>99.631773208812945</v>
      </c>
      <c r="I11" s="444">
        <f t="shared" si="3"/>
        <v>12.908422359536294</v>
      </c>
      <c r="J11" s="475">
        <f t="shared" si="4"/>
        <v>17.784937430624403</v>
      </c>
      <c r="K11" s="472">
        <f t="shared" si="5"/>
        <v>30.693359790160699</v>
      </c>
      <c r="L11" s="446">
        <f>VLOOKUP(A11,체크카드!$A$5:$D$44,2,FALSE)</f>
        <v>290833</v>
      </c>
      <c r="M11" s="446">
        <f>VLOOKUP(A11,체크카드!$A$5:$D$44,3,FALSE)</f>
        <v>146866.09599999999</v>
      </c>
      <c r="N11" s="444">
        <f t="shared" si="6"/>
        <v>50.498428995334088</v>
      </c>
      <c r="O11" s="527">
        <f t="shared" si="7"/>
        <v>7.7337312125901887</v>
      </c>
      <c r="P11" s="475">
        <f t="shared" si="8"/>
        <v>10.178154675272857</v>
      </c>
      <c r="Q11" s="472">
        <f t="shared" si="9"/>
        <v>17.911885887863047</v>
      </c>
      <c r="R11" s="446">
        <f>VLOOKUP(A11,스마트금융!$A$5:$D$45,2,FALSE)</f>
        <v>10878</v>
      </c>
      <c r="S11" s="446">
        <f>VLOOKUP(A11,스마트금융!$A$5:$D$45,3,FALSE)</f>
        <v>10632</v>
      </c>
      <c r="T11" s="444">
        <f t="shared" si="10"/>
        <v>97.738554881412014</v>
      </c>
      <c r="U11" s="444">
        <f t="shared" si="11"/>
        <v>6.3214222010821093</v>
      </c>
      <c r="V11" s="475">
        <f t="shared" si="12"/>
        <v>9.6033029815365651</v>
      </c>
      <c r="W11" s="478">
        <f t="shared" si="13"/>
        <v>15.924725182618674</v>
      </c>
      <c r="X11" s="505">
        <f t="shared" si="14"/>
        <v>73.366322465600859</v>
      </c>
      <c r="Y11" s="461">
        <f t="shared" si="15"/>
        <v>7</v>
      </c>
      <c r="Z11" s="443">
        <v>10400</v>
      </c>
      <c r="AA11" s="510">
        <v>6500</v>
      </c>
    </row>
    <row r="12" spans="1:27">
      <c r="A12" s="132" t="s">
        <v>40</v>
      </c>
      <c r="B12" s="443">
        <f>VLOOKUP(A12,총수신고!$C$6:$I$45,2,FALSE)</f>
        <v>676977</v>
      </c>
      <c r="C12" s="443">
        <f>VLOOKUP(A12,총수신고!$C$6:$I$45,4,FALSE)</f>
        <v>804658.43486699997</v>
      </c>
      <c r="D12" s="444">
        <f t="shared" si="0"/>
        <v>118.86052773831311</v>
      </c>
      <c r="E12" s="472">
        <f t="shared" si="1"/>
        <v>10</v>
      </c>
      <c r="F12" s="446">
        <f>VLOOKUP(A12,총수신고!$M$6:$U$45,2,FALSE)</f>
        <v>70406</v>
      </c>
      <c r="G12" s="446">
        <f>VLOOKUP(A12,총수신고!$M$6:$U$45,4,FALSE)</f>
        <v>78883.320808999997</v>
      </c>
      <c r="H12" s="444">
        <f t="shared" si="2"/>
        <v>112.04062268698689</v>
      </c>
      <c r="I12" s="444">
        <f t="shared" si="3"/>
        <v>12.331651138882251</v>
      </c>
      <c r="J12" s="475">
        <f t="shared" si="4"/>
        <v>20</v>
      </c>
      <c r="K12" s="472">
        <f t="shared" si="5"/>
        <v>32.331651138882251</v>
      </c>
      <c r="L12" s="446">
        <f>VLOOKUP(A12,체크카드!$A$5:$D$44,2,FALSE)</f>
        <v>169310</v>
      </c>
      <c r="M12" s="446">
        <f>VLOOKUP(A12,체크카드!$A$5:$D$44,3,FALSE)</f>
        <v>92933.096999999994</v>
      </c>
      <c r="N12" s="444">
        <f t="shared" si="6"/>
        <v>54.889313684956583</v>
      </c>
      <c r="O12" s="527">
        <f t="shared" si="7"/>
        <v>4.8937066656389616</v>
      </c>
      <c r="P12" s="475">
        <f t="shared" si="8"/>
        <v>11.063154553910557</v>
      </c>
      <c r="Q12" s="472">
        <f t="shared" si="9"/>
        <v>15.95686121954952</v>
      </c>
      <c r="R12" s="446">
        <f>VLOOKUP(A12,스마트금융!$A$5:$D$45,2,FALSE)</f>
        <v>7629</v>
      </c>
      <c r="S12" s="446">
        <f>VLOOKUP(A12,스마트금융!$A$5:$D$45,3,FALSE)</f>
        <v>7392</v>
      </c>
      <c r="T12" s="444">
        <f t="shared" si="10"/>
        <v>96.893432953204865</v>
      </c>
      <c r="U12" s="444">
        <f t="shared" si="11"/>
        <v>4.3950294310006539</v>
      </c>
      <c r="V12" s="475">
        <f t="shared" si="12"/>
        <v>9.5202655154848017</v>
      </c>
      <c r="W12" s="478">
        <f t="shared" si="13"/>
        <v>13.915294946485457</v>
      </c>
      <c r="X12" s="505">
        <f t="shared" si="14"/>
        <v>72.203807304917234</v>
      </c>
      <c r="Y12" s="461">
        <f t="shared" si="15"/>
        <v>8</v>
      </c>
      <c r="Z12" s="443">
        <v>10400</v>
      </c>
      <c r="AA12" s="510">
        <v>6500</v>
      </c>
    </row>
    <row r="13" spans="1:27">
      <c r="A13" s="132" t="s">
        <v>87</v>
      </c>
      <c r="B13" s="443">
        <f>VLOOKUP(A13,총수신고!$C$6:$I$45,2,FALSE)</f>
        <v>352943</v>
      </c>
      <c r="C13" s="443">
        <f>VLOOKUP(A13,총수신고!$C$6:$I$45,4,FALSE)</f>
        <v>369263.31683700002</v>
      </c>
      <c r="D13" s="444">
        <f t="shared" si="0"/>
        <v>104.6240658794763</v>
      </c>
      <c r="E13" s="472">
        <f t="shared" si="1"/>
        <v>8.8022548671346783</v>
      </c>
      <c r="F13" s="446">
        <f>VLOOKUP(A13,총수신고!$M$6:$U$45,2,FALSE)</f>
        <v>68028</v>
      </c>
      <c r="G13" s="446">
        <f>VLOOKUP(A13,총수신고!$M$6:$U$45,4,FALSE)</f>
        <v>71589.543223000001</v>
      </c>
      <c r="H13" s="444">
        <f t="shared" si="2"/>
        <v>105.23540780707943</v>
      </c>
      <c r="I13" s="444">
        <f t="shared" si="3"/>
        <v>11.191431384532244</v>
      </c>
      <c r="J13" s="475">
        <f t="shared" si="4"/>
        <v>18.785223659650747</v>
      </c>
      <c r="K13" s="472">
        <f t="shared" si="5"/>
        <v>29.976655044182991</v>
      </c>
      <c r="L13" s="446">
        <f>VLOOKUP(A13,체크카드!$A$5:$D$44,2,FALSE)</f>
        <v>243728</v>
      </c>
      <c r="M13" s="446">
        <f>VLOOKUP(A13,체크카드!$A$5:$D$44,3,FALSE)</f>
        <v>126301.715</v>
      </c>
      <c r="N13" s="444">
        <f t="shared" si="6"/>
        <v>51.820765361386464</v>
      </c>
      <c r="O13" s="527">
        <f t="shared" si="7"/>
        <v>6.650844150573529</v>
      </c>
      <c r="P13" s="475">
        <f t="shared" si="8"/>
        <v>10.444676710397214</v>
      </c>
      <c r="Q13" s="472">
        <f t="shared" si="9"/>
        <v>17.095520860970744</v>
      </c>
      <c r="R13" s="446">
        <f>VLOOKUP(A13,스마트금융!$A$5:$D$45,2,FALSE)</f>
        <v>10330</v>
      </c>
      <c r="S13" s="446">
        <f>VLOOKUP(A13,스마트금융!$A$5:$D$45,3,FALSE)</f>
        <v>10222</v>
      </c>
      <c r="T13" s="444">
        <f t="shared" si="10"/>
        <v>98.954501452081317</v>
      </c>
      <c r="U13" s="444">
        <f t="shared" si="11"/>
        <v>6.0776502764730367</v>
      </c>
      <c r="V13" s="475">
        <f t="shared" si="12"/>
        <v>9.7227758276581966</v>
      </c>
      <c r="W13" s="478">
        <f t="shared" si="13"/>
        <v>15.800426104131233</v>
      </c>
      <c r="X13" s="505">
        <f t="shared" si="14"/>
        <v>71.674856876419653</v>
      </c>
      <c r="Y13" s="461">
        <f t="shared" si="15"/>
        <v>9</v>
      </c>
      <c r="Z13" s="443">
        <v>10400</v>
      </c>
      <c r="AA13" s="510">
        <v>6500</v>
      </c>
    </row>
    <row r="14" spans="1:27">
      <c r="A14" s="132" t="s">
        <v>38</v>
      </c>
      <c r="B14" s="443">
        <f>VLOOKUP(A14,총수신고!$C$6:$I$45,2,FALSE)</f>
        <v>440866</v>
      </c>
      <c r="C14" s="443">
        <f>VLOOKUP(A14,총수신고!$C$6:$I$45,4,FALSE)</f>
        <v>452393.21272200003</v>
      </c>
      <c r="D14" s="444">
        <f t="shared" si="0"/>
        <v>102.61467491754865</v>
      </c>
      <c r="E14" s="472">
        <f t="shared" si="1"/>
        <v>8.633200345826177</v>
      </c>
      <c r="F14" s="446">
        <f>VLOOKUP(A14,총수신고!$M$6:$U$45,2,FALSE)</f>
        <v>81033</v>
      </c>
      <c r="G14" s="446">
        <f>VLOOKUP(A14,총수신고!$M$6:$U$45,4,FALSE)</f>
        <v>78125.132750999997</v>
      </c>
      <c r="H14" s="444">
        <f t="shared" si="2"/>
        <v>96.4115024138314</v>
      </c>
      <c r="I14" s="444">
        <f t="shared" si="3"/>
        <v>12.213125314499665</v>
      </c>
      <c r="J14" s="475">
        <f t="shared" si="4"/>
        <v>17.210097570268008</v>
      </c>
      <c r="K14" s="472">
        <f t="shared" si="5"/>
        <v>29.423222884767675</v>
      </c>
      <c r="L14" s="446">
        <f>VLOOKUP(A14,체크카드!$A$5:$D$44,2,FALSE)</f>
        <v>200655</v>
      </c>
      <c r="M14" s="446">
        <f>VLOOKUP(A14,체크카드!$A$5:$D$44,3,FALSE)</f>
        <v>105648.69500000001</v>
      </c>
      <c r="N14" s="444">
        <f t="shared" si="6"/>
        <v>52.651912486606363</v>
      </c>
      <c r="O14" s="527">
        <f t="shared" si="7"/>
        <v>5.5632895020980273</v>
      </c>
      <c r="P14" s="475">
        <f t="shared" si="8"/>
        <v>10.612197644547031</v>
      </c>
      <c r="Q14" s="472">
        <f t="shared" si="9"/>
        <v>16.175487146645057</v>
      </c>
      <c r="R14" s="446">
        <f>VLOOKUP(A14,스마트금융!$A$5:$D$45,2,FALSE)</f>
        <v>9960</v>
      </c>
      <c r="S14" s="446">
        <f>VLOOKUP(A14,스마트금융!$A$5:$D$45,3,FALSE)</f>
        <v>9763</v>
      </c>
      <c r="T14" s="444">
        <f t="shared" si="10"/>
        <v>98.02208835341365</v>
      </c>
      <c r="U14" s="444">
        <f t="shared" si="11"/>
        <v>5.8047446340448303</v>
      </c>
      <c r="V14" s="475">
        <f t="shared" si="12"/>
        <v>9.6311615665171022</v>
      </c>
      <c r="W14" s="478">
        <f t="shared" si="13"/>
        <v>15.435906200561933</v>
      </c>
      <c r="X14" s="505">
        <f t="shared" si="14"/>
        <v>69.667816577800835</v>
      </c>
      <c r="Y14" s="461">
        <f t="shared" si="15"/>
        <v>10</v>
      </c>
      <c r="Z14" s="443">
        <v>10400</v>
      </c>
      <c r="AA14" s="510">
        <v>6500</v>
      </c>
    </row>
    <row r="15" spans="1:27">
      <c r="A15" s="132" t="s">
        <v>88</v>
      </c>
      <c r="B15" s="443">
        <f>VLOOKUP(A15,총수신고!$C$6:$I$45,2,FALSE)</f>
        <v>281761</v>
      </c>
      <c r="C15" s="443">
        <f>VLOOKUP(A15,총수신고!$C$6:$I$45,4,FALSE)</f>
        <v>303655.90121400001</v>
      </c>
      <c r="D15" s="444">
        <f t="shared" si="0"/>
        <v>107.77073520252981</v>
      </c>
      <c r="E15" s="472">
        <f t="shared" si="1"/>
        <v>9.0669911410624948</v>
      </c>
      <c r="F15" s="446">
        <f>VLOOKUP(A15,총수신고!$M$6:$U$45,2,FALSE)</f>
        <v>56604</v>
      </c>
      <c r="G15" s="446">
        <f>VLOOKUP(A15,총수신고!$M$6:$U$45,4,FALSE)</f>
        <v>57791.652378999999</v>
      </c>
      <c r="H15" s="444">
        <f t="shared" si="2"/>
        <v>102.09817747685676</v>
      </c>
      <c r="I15" s="444">
        <f t="shared" si="3"/>
        <v>9.0344383143169154</v>
      </c>
      <c r="J15" s="475">
        <f t="shared" si="4"/>
        <v>18.225207077274678</v>
      </c>
      <c r="K15" s="472">
        <f t="shared" si="5"/>
        <v>27.259645391591594</v>
      </c>
      <c r="L15" s="446">
        <f>VLOOKUP(A15,체크카드!$A$5:$D$44,2,FALSE)</f>
        <v>190112</v>
      </c>
      <c r="M15" s="446">
        <f>VLOOKUP(A15,체크카드!$A$5:$D$44,3,FALSE)</f>
        <v>102677.7</v>
      </c>
      <c r="N15" s="444">
        <f t="shared" si="6"/>
        <v>54.009057818549067</v>
      </c>
      <c r="O15" s="527">
        <f t="shared" si="7"/>
        <v>5.406841707884519</v>
      </c>
      <c r="P15" s="475">
        <f t="shared" si="8"/>
        <v>10.885735562065488</v>
      </c>
      <c r="Q15" s="472">
        <f t="shared" si="9"/>
        <v>16.292577269950009</v>
      </c>
      <c r="R15" s="446">
        <f>VLOOKUP(A15,스마트금융!$A$5:$D$45,2,FALSE)</f>
        <v>9146</v>
      </c>
      <c r="S15" s="446">
        <f>VLOOKUP(A15,스마트금융!$A$5:$D$45,3,FALSE)</f>
        <v>9010</v>
      </c>
      <c r="T15" s="444">
        <f t="shared" si="10"/>
        <v>98.513011152416354</v>
      </c>
      <c r="U15" s="444">
        <f t="shared" si="11"/>
        <v>5.3570366847018249</v>
      </c>
      <c r="V15" s="475">
        <f t="shared" si="12"/>
        <v>9.6793971925204438</v>
      </c>
      <c r="W15" s="478">
        <f t="shared" si="13"/>
        <v>15.036433877222269</v>
      </c>
      <c r="X15" s="505">
        <f t="shared" si="14"/>
        <v>67.655647679826373</v>
      </c>
      <c r="Y15" s="461">
        <f t="shared" si="15"/>
        <v>11</v>
      </c>
      <c r="Z15" s="443">
        <v>9800</v>
      </c>
      <c r="AA15" s="510">
        <v>6000</v>
      </c>
    </row>
    <row r="16" spans="1:27">
      <c r="A16" s="132" t="s">
        <v>85</v>
      </c>
      <c r="B16" s="443">
        <f>VLOOKUP(A16,총수신고!$C$6:$I$45,2,FALSE)</f>
        <v>265241</v>
      </c>
      <c r="C16" s="443">
        <f>VLOOKUP(A16,총수신고!$C$6:$I$45,4,FALSE)</f>
        <v>278237.21139000001</v>
      </c>
      <c r="D16" s="444">
        <f t="shared" si="0"/>
        <v>104.89977469169548</v>
      </c>
      <c r="E16" s="472">
        <f t="shared" si="1"/>
        <v>8.8254508614201992</v>
      </c>
      <c r="F16" s="446">
        <f>VLOOKUP(A16,총수신고!$M$6:$U$45,2,FALSE)</f>
        <v>62839</v>
      </c>
      <c r="G16" s="446">
        <f>VLOOKUP(A16,총수신고!$M$6:$U$45,4,FALSE)</f>
        <v>61894.689847000001</v>
      </c>
      <c r="H16" s="444">
        <f t="shared" si="2"/>
        <v>98.497254646000101</v>
      </c>
      <c r="I16" s="444">
        <f t="shared" si="3"/>
        <v>9.6758568822249504</v>
      </c>
      <c r="J16" s="475">
        <f t="shared" si="4"/>
        <v>17.5824182843354</v>
      </c>
      <c r="K16" s="472">
        <f t="shared" si="5"/>
        <v>27.258275166560352</v>
      </c>
      <c r="L16" s="446">
        <f>VLOOKUP(A16,체크카드!$A$5:$D$44,2,FALSE)</f>
        <v>253357</v>
      </c>
      <c r="M16" s="446">
        <f>VLOOKUP(A16,체크카드!$A$5:$D$44,3,FALSE)</f>
        <v>123961.905</v>
      </c>
      <c r="N16" s="444">
        <f t="shared" si="6"/>
        <v>48.927760038206955</v>
      </c>
      <c r="O16" s="527">
        <f t="shared" si="7"/>
        <v>6.5276335381764339</v>
      </c>
      <c r="P16" s="475">
        <f t="shared" si="8"/>
        <v>9.8615802410312163</v>
      </c>
      <c r="Q16" s="472">
        <f t="shared" si="9"/>
        <v>16.389213779207651</v>
      </c>
      <c r="R16" s="446">
        <f>VLOOKUP(A16,스마트금융!$A$5:$D$45,2,FALSE)</f>
        <v>9262</v>
      </c>
      <c r="S16" s="446">
        <f>VLOOKUP(A16,스마트금융!$A$5:$D$45,3,FALSE)</f>
        <v>8995</v>
      </c>
      <c r="T16" s="444">
        <f t="shared" si="10"/>
        <v>97.117253293025257</v>
      </c>
      <c r="U16" s="444">
        <f t="shared" si="11"/>
        <v>5.3481181996551523</v>
      </c>
      <c r="V16" s="475">
        <f t="shared" si="12"/>
        <v>9.5422569858859507</v>
      </c>
      <c r="W16" s="478">
        <f t="shared" si="13"/>
        <v>14.890375185541103</v>
      </c>
      <c r="X16" s="505">
        <f t="shared" si="14"/>
        <v>67.3633149927293</v>
      </c>
      <c r="Y16" s="461">
        <f t="shared" si="15"/>
        <v>12</v>
      </c>
      <c r="Z16" s="443">
        <v>9800</v>
      </c>
      <c r="AA16" s="510">
        <v>6000</v>
      </c>
    </row>
    <row r="17" spans="1:27">
      <c r="A17" s="132" t="s">
        <v>43</v>
      </c>
      <c r="B17" s="443">
        <f>VLOOKUP(A17,총수신고!$C$6:$I$45,2,FALSE)</f>
        <v>294194</v>
      </c>
      <c r="C17" s="443">
        <f>VLOOKUP(A17,총수신고!$C$6:$I$45,4,FALSE)</f>
        <v>318628.69283399999</v>
      </c>
      <c r="D17" s="444">
        <f t="shared" si="0"/>
        <v>108.30563941956667</v>
      </c>
      <c r="E17" s="472">
        <f t="shared" si="1"/>
        <v>9.1119938200186699</v>
      </c>
      <c r="F17" s="446">
        <f>VLOOKUP(A17,총수신고!$M$6:$U$45,2,FALSE)</f>
        <v>50574</v>
      </c>
      <c r="G17" s="446">
        <f>VLOOKUP(A17,총수신고!$M$6:$U$45,4,FALSE)</f>
        <v>54749.740362999997</v>
      </c>
      <c r="H17" s="444">
        <f t="shared" si="2"/>
        <v>108.25669388025467</v>
      </c>
      <c r="I17" s="444">
        <f t="shared" si="3"/>
        <v>8.5589030884697017</v>
      </c>
      <c r="J17" s="475">
        <f t="shared" si="4"/>
        <v>19.324543417202605</v>
      </c>
      <c r="K17" s="472">
        <f t="shared" si="5"/>
        <v>27.883446505672307</v>
      </c>
      <c r="L17" s="446">
        <f>VLOOKUP(A17,체크카드!$A$5:$D$44,2,FALSE)</f>
        <v>210662</v>
      </c>
      <c r="M17" s="446">
        <f>VLOOKUP(A17,체크카드!$A$5:$D$44,3,FALSE)</f>
        <v>103312.95299999999</v>
      </c>
      <c r="N17" s="444">
        <f t="shared" si="6"/>
        <v>49.042045076947907</v>
      </c>
      <c r="O17" s="527">
        <f t="shared" si="7"/>
        <v>5.4402931040051827</v>
      </c>
      <c r="P17" s="475">
        <f t="shared" si="8"/>
        <v>9.8846148348694225</v>
      </c>
      <c r="Q17" s="472">
        <f t="shared" si="9"/>
        <v>15.324907938874606</v>
      </c>
      <c r="R17" s="446">
        <f>VLOOKUP(A17,스마트금융!$A$5:$D$45,2,FALSE)</f>
        <v>8647</v>
      </c>
      <c r="S17" s="446">
        <f>VLOOKUP(A17,스마트금융!$A$5:$D$45,3,FALSE)</f>
        <v>8421</v>
      </c>
      <c r="T17" s="444">
        <f t="shared" si="10"/>
        <v>97.386376778073327</v>
      </c>
      <c r="U17" s="444">
        <f t="shared" si="11"/>
        <v>5.0068375052024496</v>
      </c>
      <c r="V17" s="475">
        <f t="shared" si="12"/>
        <v>9.5686997174108797</v>
      </c>
      <c r="W17" s="478">
        <f t="shared" si="13"/>
        <v>14.575537222613329</v>
      </c>
      <c r="X17" s="505">
        <f t="shared" si="14"/>
        <v>66.895885487178916</v>
      </c>
      <c r="Y17" s="461">
        <f t="shared" si="15"/>
        <v>13</v>
      </c>
      <c r="Z17" s="443">
        <v>9800</v>
      </c>
      <c r="AA17" s="510">
        <v>6000</v>
      </c>
    </row>
    <row r="18" spans="1:27">
      <c r="A18" s="132" t="s">
        <v>93</v>
      </c>
      <c r="B18" s="443">
        <f>VLOOKUP(A18,총수신고!$C$6:$I$45,2,FALSE)</f>
        <v>195824</v>
      </c>
      <c r="C18" s="443">
        <f>VLOOKUP(A18,총수신고!$C$6:$I$45,4,FALSE)</f>
        <v>218197.14419399999</v>
      </c>
      <c r="D18" s="444">
        <f t="shared" si="0"/>
        <v>111.42512878605277</v>
      </c>
      <c r="E18" s="472">
        <f t="shared" si="1"/>
        <v>9.3744433838767449</v>
      </c>
      <c r="F18" s="446">
        <f>VLOOKUP(A18,총수신고!$M$6:$U$45,2,FALSE)</f>
        <v>53537</v>
      </c>
      <c r="G18" s="446">
        <f>VLOOKUP(A18,총수신고!$M$6:$U$45,4,FALSE)</f>
        <v>51192.368634999999</v>
      </c>
      <c r="H18" s="444">
        <f t="shared" si="2"/>
        <v>95.620540252535619</v>
      </c>
      <c r="I18" s="444">
        <f t="shared" si="3"/>
        <v>8.0027872116135939</v>
      </c>
      <c r="J18" s="475">
        <f t="shared" si="4"/>
        <v>17.068905537891411</v>
      </c>
      <c r="K18" s="472">
        <f t="shared" si="5"/>
        <v>25.071692749505004</v>
      </c>
      <c r="L18" s="446">
        <f>VLOOKUP(A18,체크카드!$A$5:$D$44,2,FALSE)</f>
        <v>288782</v>
      </c>
      <c r="M18" s="446">
        <f>VLOOKUP(A18,체크카드!$A$5:$D$44,3,FALSE)</f>
        <v>144771.52799999999</v>
      </c>
      <c r="N18" s="444">
        <f t="shared" si="6"/>
        <v>50.131769985663922</v>
      </c>
      <c r="O18" s="527">
        <f t="shared" si="7"/>
        <v>7.6234346474898773</v>
      </c>
      <c r="P18" s="475">
        <f t="shared" si="8"/>
        <v>10.10425312649695</v>
      </c>
      <c r="Q18" s="472">
        <f t="shared" si="9"/>
        <v>17.727687773986826</v>
      </c>
      <c r="R18" s="446">
        <f>VLOOKUP(A18,스마트금융!$A$5:$D$45,2,FALSE)</f>
        <v>8313</v>
      </c>
      <c r="S18" s="446">
        <f>VLOOKUP(A18,스마트금융!$A$5:$D$45,3,FALSE)</f>
        <v>8169</v>
      </c>
      <c r="T18" s="444">
        <f t="shared" si="10"/>
        <v>98.267773367015522</v>
      </c>
      <c r="U18" s="444">
        <f t="shared" si="11"/>
        <v>4.8570069564183367</v>
      </c>
      <c r="V18" s="475">
        <f t="shared" si="12"/>
        <v>9.6553013507251286</v>
      </c>
      <c r="W18" s="478">
        <f t="shared" si="13"/>
        <v>14.512308307143465</v>
      </c>
      <c r="X18" s="505">
        <f t="shared" si="14"/>
        <v>66.686132214512043</v>
      </c>
      <c r="Y18" s="461">
        <f t="shared" si="15"/>
        <v>14</v>
      </c>
      <c r="Z18" s="443">
        <v>9800</v>
      </c>
      <c r="AA18" s="510">
        <v>6000</v>
      </c>
    </row>
    <row r="19" spans="1:27">
      <c r="A19" s="132" t="s">
        <v>45</v>
      </c>
      <c r="B19" s="443">
        <f>VLOOKUP(A19,총수신고!$C$6:$I$45,2,FALSE)</f>
        <v>147268</v>
      </c>
      <c r="C19" s="443">
        <f>VLOOKUP(A19,총수신고!$C$6:$I$45,4,FALSE)</f>
        <v>154069.27998299999</v>
      </c>
      <c r="D19" s="444">
        <f t="shared" si="0"/>
        <v>104.61830131664721</v>
      </c>
      <c r="E19" s="472">
        <f t="shared" si="1"/>
        <v>8.8017698816698822</v>
      </c>
      <c r="F19" s="446">
        <f>VLOOKUP(A19,총수신고!$M$6:$U$45,2,FALSE)</f>
        <v>48945</v>
      </c>
      <c r="G19" s="446">
        <f>VLOOKUP(A19,총수신고!$M$6:$U$45,4,FALSE)</f>
        <v>47470.035056000001</v>
      </c>
      <c r="H19" s="444">
        <f t="shared" si="2"/>
        <v>96.986484944325269</v>
      </c>
      <c r="I19" s="444">
        <f t="shared" si="3"/>
        <v>7.4208832216697802</v>
      </c>
      <c r="J19" s="475">
        <f t="shared" si="4"/>
        <v>17.312735794994808</v>
      </c>
      <c r="K19" s="472">
        <f t="shared" si="5"/>
        <v>24.733619016664587</v>
      </c>
      <c r="L19" s="446">
        <f>VLOOKUP(A19,체크카드!$A$5:$D$44,2,FALSE)</f>
        <v>273983</v>
      </c>
      <c r="M19" s="446">
        <f>VLOOKUP(A19,체크카드!$A$5:$D$44,3,FALSE)</f>
        <v>133372.21</v>
      </c>
      <c r="N19" s="444">
        <f t="shared" si="6"/>
        <v>48.679009281597764</v>
      </c>
      <c r="O19" s="527">
        <f t="shared" si="7"/>
        <v>7.0231649881204259</v>
      </c>
      <c r="P19" s="475">
        <f t="shared" si="8"/>
        <v>9.8114435590248625</v>
      </c>
      <c r="Q19" s="472">
        <f t="shared" si="9"/>
        <v>16.834608547145287</v>
      </c>
      <c r="R19" s="446">
        <f>VLOOKUP(A19,스마트금융!$A$5:$D$45,2,FALSE)</f>
        <v>8275</v>
      </c>
      <c r="S19" s="446">
        <f>VLOOKUP(A19,스마트금융!$A$5:$D$45,3,FALSE)</f>
        <v>8110</v>
      </c>
      <c r="T19" s="444">
        <f t="shared" si="10"/>
        <v>98.006042296072508</v>
      </c>
      <c r="U19" s="444">
        <f t="shared" si="11"/>
        <v>4.8219275819014209</v>
      </c>
      <c r="V19" s="475">
        <f t="shared" si="12"/>
        <v>9.6295849609442747</v>
      </c>
      <c r="W19" s="478">
        <f t="shared" si="13"/>
        <v>14.451512542845695</v>
      </c>
      <c r="X19" s="505">
        <f t="shared" si="14"/>
        <v>64.821509988325445</v>
      </c>
      <c r="Y19" s="461">
        <f t="shared" si="15"/>
        <v>15</v>
      </c>
      <c r="Z19" s="443">
        <v>9800</v>
      </c>
      <c r="AA19" s="510">
        <v>6000</v>
      </c>
    </row>
    <row r="20" spans="1:27">
      <c r="A20" s="132" t="s">
        <v>46</v>
      </c>
      <c r="B20" s="443">
        <f>VLOOKUP(A20,총수신고!$C$6:$I$45,2,FALSE)</f>
        <v>215956</v>
      </c>
      <c r="C20" s="443">
        <f>VLOOKUP(A20,총수신고!$C$6:$I$45,4,FALSE)</f>
        <v>226206.78490999999</v>
      </c>
      <c r="D20" s="444">
        <f t="shared" si="0"/>
        <v>104.74670067513752</v>
      </c>
      <c r="E20" s="472">
        <f t="shared" si="1"/>
        <v>8.8125724046717178</v>
      </c>
      <c r="F20" s="446">
        <f>VLOOKUP(A20,총수신고!$M$6:$U$45,2,FALSE)</f>
        <v>47487</v>
      </c>
      <c r="G20" s="446">
        <f>VLOOKUP(A20,총수신고!$M$6:$U$45,4,FALSE)</f>
        <v>45117.917862000002</v>
      </c>
      <c r="H20" s="444">
        <f t="shared" si="2"/>
        <v>95.011093271842824</v>
      </c>
      <c r="I20" s="444">
        <f t="shared" si="3"/>
        <v>7.0531820602999957</v>
      </c>
      <c r="J20" s="475">
        <f t="shared" si="4"/>
        <v>16.960115178452682</v>
      </c>
      <c r="K20" s="472">
        <f t="shared" si="5"/>
        <v>24.013297238752678</v>
      </c>
      <c r="L20" s="446">
        <f>VLOOKUP(A20,체크카드!$A$5:$D$44,2,FALSE)</f>
        <v>146150</v>
      </c>
      <c r="M20" s="446">
        <f>VLOOKUP(A20,체크카드!$A$5:$D$44,3,FALSE)</f>
        <v>88721.324999999997</v>
      </c>
      <c r="N20" s="444">
        <f t="shared" si="6"/>
        <v>60.705661991105032</v>
      </c>
      <c r="O20" s="527">
        <f t="shared" si="7"/>
        <v>4.6719215602684656</v>
      </c>
      <c r="P20" s="475">
        <f t="shared" si="8"/>
        <v>12.235462165909935</v>
      </c>
      <c r="Q20" s="472">
        <f t="shared" si="9"/>
        <v>16.907383726178402</v>
      </c>
      <c r="R20" s="446">
        <f>VLOOKUP(A20,스마트금융!$A$5:$D$45,2,FALSE)</f>
        <v>6595</v>
      </c>
      <c r="S20" s="446">
        <f>VLOOKUP(A20,스마트금융!$A$5:$D$45,3,FALSE)</f>
        <v>6570</v>
      </c>
      <c r="T20" s="444">
        <f t="shared" si="10"/>
        <v>99.620924943138746</v>
      </c>
      <c r="U20" s="444">
        <f t="shared" si="11"/>
        <v>3.9062964504429516</v>
      </c>
      <c r="V20" s="475">
        <f t="shared" si="12"/>
        <v>9.7882552764427917</v>
      </c>
      <c r="W20" s="478">
        <f t="shared" si="13"/>
        <v>13.694551726885743</v>
      </c>
      <c r="X20" s="505">
        <f t="shared" si="14"/>
        <v>63.427805096488541</v>
      </c>
      <c r="Y20" s="461">
        <f t="shared" si="15"/>
        <v>16</v>
      </c>
      <c r="Z20" s="443">
        <v>9200</v>
      </c>
      <c r="AA20" s="510">
        <v>5500</v>
      </c>
    </row>
    <row r="21" spans="1:27">
      <c r="A21" s="132" t="s">
        <v>90</v>
      </c>
      <c r="B21" s="443">
        <f>VLOOKUP(A21,총수신고!$C$6:$I$45,2,FALSE)</f>
        <v>173602</v>
      </c>
      <c r="C21" s="443">
        <f>VLOOKUP(A21,총수신고!$C$6:$I$45,4,FALSE)</f>
        <v>180191.37622400001</v>
      </c>
      <c r="D21" s="444">
        <f t="shared" si="0"/>
        <v>103.79567990230527</v>
      </c>
      <c r="E21" s="472">
        <f t="shared" si="1"/>
        <v>8.7325609163392688</v>
      </c>
      <c r="F21" s="446">
        <f>VLOOKUP(A21,총수신고!$M$6:$U$45,2,FALSE)</f>
        <v>39956</v>
      </c>
      <c r="G21" s="446">
        <f>VLOOKUP(A21,총수신고!$M$6:$U$45,4,FALSE)</f>
        <v>39064.390805000003</v>
      </c>
      <c r="H21" s="444">
        <f t="shared" si="2"/>
        <v>97.768522387125842</v>
      </c>
      <c r="I21" s="444">
        <f t="shared" si="3"/>
        <v>6.1068478661874233</v>
      </c>
      <c r="J21" s="475">
        <f t="shared" si="4"/>
        <v>17.452334705469518</v>
      </c>
      <c r="K21" s="472">
        <f t="shared" si="5"/>
        <v>23.55918257165694</v>
      </c>
      <c r="L21" s="446">
        <f>VLOOKUP(A21,체크카드!$A$5:$D$44,2,FALSE)</f>
        <v>216281</v>
      </c>
      <c r="M21" s="446">
        <f>VLOOKUP(A21,체크카드!$A$5:$D$44,3,FALSE)</f>
        <v>109722.075</v>
      </c>
      <c r="N21" s="444">
        <f t="shared" si="6"/>
        <v>50.731259333922075</v>
      </c>
      <c r="O21" s="527">
        <f t="shared" si="7"/>
        <v>5.7777871084532793</v>
      </c>
      <c r="P21" s="475">
        <f t="shared" si="8"/>
        <v>10.225082535136847</v>
      </c>
      <c r="Q21" s="472">
        <f t="shared" si="9"/>
        <v>16.002869643590127</v>
      </c>
      <c r="R21" s="446">
        <f>VLOOKUP(A21,스마트금융!$A$5:$D$45,2,FALSE)</f>
        <v>8763</v>
      </c>
      <c r="S21" s="446">
        <f>VLOOKUP(A21,스마트금융!$A$5:$D$45,3,FALSE)</f>
        <v>8745</v>
      </c>
      <c r="T21" s="444">
        <f t="shared" si="10"/>
        <v>99.794590893529616</v>
      </c>
      <c r="U21" s="444">
        <f t="shared" si="11"/>
        <v>5.1994767822105947</v>
      </c>
      <c r="V21" s="475">
        <f t="shared" si="12"/>
        <v>9.8053188266579934</v>
      </c>
      <c r="W21" s="478">
        <f t="shared" si="13"/>
        <v>15.004795608868587</v>
      </c>
      <c r="X21" s="505">
        <f t="shared" si="14"/>
        <v>63.299408740454922</v>
      </c>
      <c r="Y21" s="461">
        <f t="shared" si="15"/>
        <v>17</v>
      </c>
      <c r="Z21" s="443">
        <v>9200</v>
      </c>
      <c r="AA21" s="510">
        <v>5500</v>
      </c>
    </row>
    <row r="22" spans="1:27">
      <c r="A22" s="132" t="s">
        <v>52</v>
      </c>
      <c r="B22" s="443">
        <f>VLOOKUP(A22,총수신고!$C$6:$I$45,2,FALSE)</f>
        <v>168242</v>
      </c>
      <c r="C22" s="443">
        <f>VLOOKUP(A22,총수신고!$C$6:$I$45,4,FALSE)</f>
        <v>181474.42251999999</v>
      </c>
      <c r="D22" s="444">
        <f t="shared" si="0"/>
        <v>107.86511246894355</v>
      </c>
      <c r="E22" s="472">
        <f t="shared" si="1"/>
        <v>9.0749313099486333</v>
      </c>
      <c r="F22" s="446">
        <f>VLOOKUP(A22,총수신고!$M$6:$U$45,2,FALSE)</f>
        <v>44175</v>
      </c>
      <c r="G22" s="446">
        <f>VLOOKUP(A22,총수신고!$M$6:$U$45,4,FALSE)</f>
        <v>43887.774230000003</v>
      </c>
      <c r="H22" s="444">
        <f t="shared" si="2"/>
        <v>99.349800181097919</v>
      </c>
      <c r="I22" s="444">
        <f t="shared" si="3"/>
        <v>6.8608764884127282</v>
      </c>
      <c r="J22" s="475">
        <f t="shared" si="4"/>
        <v>17.734603360542913</v>
      </c>
      <c r="K22" s="472">
        <f t="shared" si="5"/>
        <v>24.595479848955641</v>
      </c>
      <c r="L22" s="446">
        <f>VLOOKUP(A22,체크카드!$A$5:$D$44,2,FALSE)</f>
        <v>211366</v>
      </c>
      <c r="M22" s="446">
        <f>VLOOKUP(A22,체크카드!$A$5:$D$44,3,FALSE)</f>
        <v>107865.37</v>
      </c>
      <c r="N22" s="444">
        <f t="shared" si="6"/>
        <v>51.032507593463471</v>
      </c>
      <c r="O22" s="527">
        <f t="shared" si="7"/>
        <v>5.680016024437589</v>
      </c>
      <c r="P22" s="475">
        <f t="shared" si="8"/>
        <v>10.285800292941795</v>
      </c>
      <c r="Q22" s="472">
        <f t="shared" si="9"/>
        <v>15.965816317379385</v>
      </c>
      <c r="R22" s="446">
        <f>VLOOKUP(A22,스마트금융!$A$5:$D$45,2,FALSE)</f>
        <v>6592</v>
      </c>
      <c r="S22" s="446">
        <f>VLOOKUP(A22,스마트금융!$A$5:$D$45,3,FALSE)</f>
        <v>6549</v>
      </c>
      <c r="T22" s="444">
        <f t="shared" si="10"/>
        <v>99.347694174757279</v>
      </c>
      <c r="U22" s="444">
        <f t="shared" si="11"/>
        <v>3.8938105713776086</v>
      </c>
      <c r="V22" s="475">
        <f t="shared" si="12"/>
        <v>9.7614089837405018</v>
      </c>
      <c r="W22" s="478">
        <f t="shared" si="13"/>
        <v>13.65521955511811</v>
      </c>
      <c r="X22" s="505">
        <f t="shared" si="14"/>
        <v>63.291447031401766</v>
      </c>
      <c r="Y22" s="461">
        <f t="shared" si="15"/>
        <v>18</v>
      </c>
      <c r="Z22" s="443">
        <v>9200</v>
      </c>
      <c r="AA22" s="510">
        <v>5500</v>
      </c>
    </row>
    <row r="23" spans="1:27">
      <c r="A23" s="132" t="s">
        <v>44</v>
      </c>
      <c r="B23" s="443">
        <f>VLOOKUP(A23,총수신고!$C$6:$I$45,2,FALSE)</f>
        <v>245473</v>
      </c>
      <c r="C23" s="443">
        <f>VLOOKUP(A23,총수신고!$C$6:$I$45,4,FALSE)</f>
        <v>261445.68440599999</v>
      </c>
      <c r="D23" s="444">
        <f t="shared" si="0"/>
        <v>106.50690072064953</v>
      </c>
      <c r="E23" s="472">
        <f t="shared" si="1"/>
        <v>8.9606619411229875</v>
      </c>
      <c r="F23" s="446">
        <f>VLOOKUP(A23,총수신고!$M$6:$U$45,2,FALSE)</f>
        <v>51645</v>
      </c>
      <c r="G23" s="446">
        <f>VLOOKUP(A23,총수신고!$M$6:$U$45,4,FALSE)</f>
        <v>48725.054067999998</v>
      </c>
      <c r="H23" s="444">
        <f t="shared" si="2"/>
        <v>94.346120762900568</v>
      </c>
      <c r="I23" s="444">
        <f t="shared" si="3"/>
        <v>7.6170775054540769</v>
      </c>
      <c r="J23" s="475">
        <f t="shared" si="4"/>
        <v>16.841413141103246</v>
      </c>
      <c r="K23" s="472">
        <f t="shared" si="5"/>
        <v>24.458490646557323</v>
      </c>
      <c r="L23" s="446">
        <f>VLOOKUP(A23,체크카드!$A$5:$D$44,2,FALSE)</f>
        <v>189351</v>
      </c>
      <c r="M23" s="446">
        <f>VLOOKUP(A23,체크카드!$A$5:$D$44,3,FALSE)</f>
        <v>97037.941000000006</v>
      </c>
      <c r="N23" s="444">
        <f t="shared" si="6"/>
        <v>51.247651715596966</v>
      </c>
      <c r="O23" s="527">
        <f t="shared" si="7"/>
        <v>5.1098611153740015</v>
      </c>
      <c r="P23" s="475">
        <f t="shared" si="8"/>
        <v>10.329163427124699</v>
      </c>
      <c r="Q23" s="472">
        <f t="shared" si="9"/>
        <v>15.4390245424987</v>
      </c>
      <c r="R23" s="446">
        <f>VLOOKUP(A23,스마트금융!$A$5:$D$45,2,FALSE)</f>
        <v>6985</v>
      </c>
      <c r="S23" s="446">
        <f>VLOOKUP(A23,스마트금융!$A$5:$D$45,3,FALSE)</f>
        <v>6859</v>
      </c>
      <c r="T23" s="444">
        <f t="shared" si="10"/>
        <v>98.196134574087338</v>
      </c>
      <c r="U23" s="444">
        <f t="shared" si="11"/>
        <v>4.0781259290088592</v>
      </c>
      <c r="V23" s="475">
        <f t="shared" si="12"/>
        <v>9.6482624801938872</v>
      </c>
      <c r="W23" s="478">
        <f t="shared" si="13"/>
        <v>13.726388409202746</v>
      </c>
      <c r="X23" s="505">
        <f t="shared" si="14"/>
        <v>62.584565539381757</v>
      </c>
      <c r="Y23" s="461">
        <f t="shared" si="15"/>
        <v>19</v>
      </c>
      <c r="Z23" s="443">
        <v>9200</v>
      </c>
      <c r="AA23" s="510">
        <v>5500</v>
      </c>
    </row>
    <row r="24" spans="1:27">
      <c r="A24" s="132" t="s">
        <v>29</v>
      </c>
      <c r="B24" s="443">
        <f>VLOOKUP(A24,총수신고!$C$6:$I$45,2,FALSE)</f>
        <v>255500</v>
      </c>
      <c r="C24" s="443">
        <f>VLOOKUP(A24,총수신고!$C$6:$I$45,4,FALSE)</f>
        <v>241537.95784700001</v>
      </c>
      <c r="D24" s="444">
        <f t="shared" si="0"/>
        <v>94.535404245401182</v>
      </c>
      <c r="E24" s="472">
        <f t="shared" si="1"/>
        <v>7.9534733728873519</v>
      </c>
      <c r="F24" s="446">
        <f>VLOOKUP(A24,총수신고!$M$6:$U$45,2,FALSE)</f>
        <v>68038</v>
      </c>
      <c r="G24" s="446">
        <f>VLOOKUP(A24,총수신고!$M$6:$U$45,4,FALSE)</f>
        <v>56736.576221000003</v>
      </c>
      <c r="H24" s="444">
        <f t="shared" si="2"/>
        <v>83.389541463593872</v>
      </c>
      <c r="I24" s="444">
        <f t="shared" si="3"/>
        <v>8.8695006447059832</v>
      </c>
      <c r="J24" s="475">
        <f t="shared" si="4"/>
        <v>14.885590505251496</v>
      </c>
      <c r="K24" s="472">
        <f t="shared" si="5"/>
        <v>23.75509114995748</v>
      </c>
      <c r="L24" s="446">
        <f>VLOOKUP(A24,체크카드!$A$5:$D$44,2,FALSE)</f>
        <v>238942</v>
      </c>
      <c r="M24" s="446">
        <f>VLOOKUP(A24,체크카드!$A$5:$D$44,3,FALSE)</f>
        <v>124139.98299999999</v>
      </c>
      <c r="N24" s="444">
        <f t="shared" si="6"/>
        <v>51.954023570573604</v>
      </c>
      <c r="O24" s="527">
        <f t="shared" si="7"/>
        <v>6.5370108378009544</v>
      </c>
      <c r="P24" s="475">
        <f t="shared" si="8"/>
        <v>10.471535420496531</v>
      </c>
      <c r="Q24" s="472">
        <f t="shared" si="9"/>
        <v>17.008546258297486</v>
      </c>
      <c r="R24" s="446">
        <f>VLOOKUP(A24,스마트금융!$A$5:$D$45,2,FALSE)</f>
        <v>7626</v>
      </c>
      <c r="S24" s="446">
        <f>VLOOKUP(A24,스마트금융!$A$5:$D$45,3,FALSE)</f>
        <v>7349</v>
      </c>
      <c r="T24" s="444">
        <f t="shared" si="10"/>
        <v>96.367689483346439</v>
      </c>
      <c r="U24" s="444">
        <f t="shared" si="11"/>
        <v>4.3694631072001906</v>
      </c>
      <c r="V24" s="475">
        <f t="shared" si="12"/>
        <v>9.4686085840134826</v>
      </c>
      <c r="W24" s="478">
        <f t="shared" si="13"/>
        <v>13.838071691213674</v>
      </c>
      <c r="X24" s="505">
        <f t="shared" si="14"/>
        <v>62.555182472355995</v>
      </c>
      <c r="Y24" s="461">
        <f t="shared" si="15"/>
        <v>20</v>
      </c>
      <c r="Z24" s="443">
        <v>9200</v>
      </c>
      <c r="AA24" s="510">
        <v>5500</v>
      </c>
    </row>
    <row r="25" spans="1:27">
      <c r="A25" s="132" t="s">
        <v>53</v>
      </c>
      <c r="B25" s="443">
        <f>VLOOKUP(A25,총수신고!$C$6:$I$45,2,FALSE)</f>
        <v>146079</v>
      </c>
      <c r="C25" s="443">
        <f>VLOOKUP(A25,총수신고!$C$6:$I$45,4,FALSE)</f>
        <v>173211.80350000001</v>
      </c>
      <c r="D25" s="444">
        <f t="shared" si="0"/>
        <v>118.57406163788089</v>
      </c>
      <c r="E25" s="472">
        <f t="shared" si="1"/>
        <v>9.9758989711821808</v>
      </c>
      <c r="F25" s="446">
        <f>VLOOKUP(A25,총수신고!$M$6:$U$45,2,FALSE)</f>
        <v>37777</v>
      </c>
      <c r="G25" s="446">
        <f>VLOOKUP(A25,총수신고!$M$6:$U$45,4,FALSE)</f>
        <v>37174.971739000001</v>
      </c>
      <c r="H25" s="444">
        <f t="shared" si="2"/>
        <v>98.406362969531727</v>
      </c>
      <c r="I25" s="444">
        <f t="shared" si="3"/>
        <v>5.8114792567258595</v>
      </c>
      <c r="J25" s="475">
        <f t="shared" si="4"/>
        <v>17.566193512589479</v>
      </c>
      <c r="K25" s="472">
        <f t="shared" si="5"/>
        <v>23.377672769315339</v>
      </c>
      <c r="L25" s="446">
        <f>VLOOKUP(A25,체크카드!$A$5:$D$44,2,FALSE)</f>
        <v>183175</v>
      </c>
      <c r="M25" s="446">
        <f>VLOOKUP(A25,체크카드!$A$5:$D$44,3,FALSE)</f>
        <v>94438.85</v>
      </c>
      <c r="N25" s="444">
        <f t="shared" si="6"/>
        <v>51.556626177152999</v>
      </c>
      <c r="O25" s="527">
        <f t="shared" si="7"/>
        <v>4.9729971846335657</v>
      </c>
      <c r="P25" s="475">
        <f t="shared" si="8"/>
        <v>10.391438430981095</v>
      </c>
      <c r="Q25" s="472">
        <f t="shared" si="9"/>
        <v>15.36443561561466</v>
      </c>
      <c r="R25" s="446">
        <f>VLOOKUP(A25,스마트금융!$A$5:$D$45,2,FALSE)</f>
        <v>5494</v>
      </c>
      <c r="S25" s="446">
        <f>VLOOKUP(A25,스마트금융!$A$5:$D$45,3,FALSE)</f>
        <v>5543</v>
      </c>
      <c r="T25" s="444">
        <f t="shared" si="10"/>
        <v>100.89188205314889</v>
      </c>
      <c r="U25" s="444">
        <f t="shared" si="11"/>
        <v>3.2956775075807121</v>
      </c>
      <c r="V25" s="475">
        <f t="shared" si="12"/>
        <v>9.9131331838230938</v>
      </c>
      <c r="W25" s="478">
        <f t="shared" si="13"/>
        <v>13.208810691403805</v>
      </c>
      <c r="X25" s="505">
        <f t="shared" si="14"/>
        <v>61.926818047515987</v>
      </c>
      <c r="Y25" s="461">
        <f t="shared" si="15"/>
        <v>21</v>
      </c>
      <c r="Z25" s="443">
        <v>8600</v>
      </c>
      <c r="AA25" s="510">
        <v>5000</v>
      </c>
    </row>
    <row r="26" spans="1:27">
      <c r="A26" s="132" t="s">
        <v>47</v>
      </c>
      <c r="B26" s="443">
        <f>VLOOKUP(A26,총수신고!$C$6:$I$45,2,FALSE)</f>
        <v>288449</v>
      </c>
      <c r="C26" s="443">
        <f>VLOOKUP(A26,총수신고!$C$6:$I$45,4,FALSE)</f>
        <v>304217.31595399999</v>
      </c>
      <c r="D26" s="444">
        <f t="shared" si="0"/>
        <v>105.46658714504122</v>
      </c>
      <c r="E26" s="472">
        <f t="shared" si="1"/>
        <v>8.8731380511148004</v>
      </c>
      <c r="F26" s="446">
        <f>VLOOKUP(A26,총수신고!$M$6:$U$45,2,FALSE)</f>
        <v>35050</v>
      </c>
      <c r="G26" s="446">
        <f>VLOOKUP(A26,총수신고!$M$6:$U$45,4,FALSE)</f>
        <v>38254.644263000002</v>
      </c>
      <c r="H26" s="444">
        <f t="shared" si="2"/>
        <v>109.14306494436521</v>
      </c>
      <c r="I26" s="444">
        <f t="shared" si="3"/>
        <v>5.980262020606224</v>
      </c>
      <c r="J26" s="475">
        <f t="shared" si="4"/>
        <v>19.482766576419923</v>
      </c>
      <c r="K26" s="472">
        <f t="shared" si="5"/>
        <v>25.463028597026145</v>
      </c>
      <c r="L26" s="446">
        <f>VLOOKUP(A26,체크카드!$A$5:$D$44,2,FALSE)</f>
        <v>137370</v>
      </c>
      <c r="M26" s="446">
        <f>VLOOKUP(A26,체크카드!$A$5:$D$44,3,FALSE)</f>
        <v>68225.402000000002</v>
      </c>
      <c r="N26" s="444">
        <f t="shared" si="6"/>
        <v>49.665430588920437</v>
      </c>
      <c r="O26" s="527">
        <f t="shared" si="7"/>
        <v>3.5926393858723742</v>
      </c>
      <c r="P26" s="475">
        <f t="shared" si="8"/>
        <v>10.010260608201635</v>
      </c>
      <c r="Q26" s="472">
        <f t="shared" si="9"/>
        <v>13.60289999407401</v>
      </c>
      <c r="R26" s="446">
        <f>VLOOKUP(A26,스마트금융!$A$5:$D$45,2,FALSE)</f>
        <v>7267</v>
      </c>
      <c r="S26" s="446">
        <f>VLOOKUP(A26,스마트금융!$A$5:$D$45,3,FALSE)</f>
        <v>7164</v>
      </c>
      <c r="T26" s="444">
        <f t="shared" si="10"/>
        <v>98.582633824136508</v>
      </c>
      <c r="U26" s="444">
        <f t="shared" si="11"/>
        <v>4.2594684582912183</v>
      </c>
      <c r="V26" s="475">
        <f t="shared" si="12"/>
        <v>9.68623796903616</v>
      </c>
      <c r="W26" s="478">
        <f t="shared" si="13"/>
        <v>13.945706427327378</v>
      </c>
      <c r="X26" s="505">
        <f t="shared" si="14"/>
        <v>61.884773069542334</v>
      </c>
      <c r="Y26" s="461">
        <f t="shared" si="15"/>
        <v>22</v>
      </c>
      <c r="Z26" s="443">
        <v>8600</v>
      </c>
      <c r="AA26" s="510">
        <v>5000</v>
      </c>
    </row>
    <row r="27" spans="1:27">
      <c r="A27" s="132" t="s">
        <v>37</v>
      </c>
      <c r="B27" s="443">
        <f>VLOOKUP(A27,총수신고!$C$6:$I$45,2,FALSE)</f>
        <v>247075</v>
      </c>
      <c r="C27" s="443">
        <f>VLOOKUP(A27,총수신고!$C$6:$I$45,4,FALSE)</f>
        <v>268272.19089299999</v>
      </c>
      <c r="D27" s="444">
        <f t="shared" si="0"/>
        <v>108.57925362460792</v>
      </c>
      <c r="E27" s="472">
        <f t="shared" si="1"/>
        <v>9.1350135903534984</v>
      </c>
      <c r="F27" s="446">
        <f>VLOOKUP(A27,총수신고!$M$6:$U$45,2,FALSE)</f>
        <v>43423</v>
      </c>
      <c r="G27" s="446">
        <f>VLOOKUP(A27,총수신고!$M$6:$U$45,4,FALSE)</f>
        <v>43087.853062000002</v>
      </c>
      <c r="H27" s="444">
        <f t="shared" si="2"/>
        <v>99.22818106072819</v>
      </c>
      <c r="I27" s="444">
        <f t="shared" si="3"/>
        <v>6.7358266213278002</v>
      </c>
      <c r="J27" s="475">
        <f t="shared" si="4"/>
        <v>17.712893534686359</v>
      </c>
      <c r="K27" s="472">
        <f t="shared" si="5"/>
        <v>24.448720156014158</v>
      </c>
      <c r="L27" s="446">
        <f>VLOOKUP(A27,체크카드!$A$5:$D$44,2,FALSE)</f>
        <v>147071</v>
      </c>
      <c r="M27" s="446">
        <f>VLOOKUP(A27,체크카드!$A$5:$D$44,3,FALSE)</f>
        <v>73619.759000000005</v>
      </c>
      <c r="N27" s="444">
        <f t="shared" si="6"/>
        <v>50.057291376274051</v>
      </c>
      <c r="O27" s="527">
        <f t="shared" si="7"/>
        <v>3.8766975057447399</v>
      </c>
      <c r="P27" s="475">
        <f t="shared" si="8"/>
        <v>10.089241673240862</v>
      </c>
      <c r="Q27" s="472">
        <f t="shared" si="9"/>
        <v>13.965939178985602</v>
      </c>
      <c r="R27" s="446">
        <f>VLOOKUP(A27,스마트금융!$A$5:$D$45,2,FALSE)</f>
        <v>6589</v>
      </c>
      <c r="S27" s="446">
        <f>VLOOKUP(A27,스마트금융!$A$5:$D$45,3,FALSE)</f>
        <v>6402</v>
      </c>
      <c r="T27" s="444">
        <f t="shared" si="10"/>
        <v>97.16193656093489</v>
      </c>
      <c r="U27" s="444">
        <f t="shared" si="11"/>
        <v>3.8064094179202095</v>
      </c>
      <c r="V27" s="475">
        <f t="shared" si="12"/>
        <v>9.546647340955781</v>
      </c>
      <c r="W27" s="478">
        <f t="shared" si="13"/>
        <v>13.35305675887599</v>
      </c>
      <c r="X27" s="505">
        <f t="shared" si="14"/>
        <v>60.902729684229243</v>
      </c>
      <c r="Y27" s="461">
        <f t="shared" si="15"/>
        <v>23</v>
      </c>
      <c r="Z27" s="443">
        <v>8600</v>
      </c>
      <c r="AA27" s="510">
        <v>5000</v>
      </c>
    </row>
    <row r="28" spans="1:27">
      <c r="A28" s="132" t="s">
        <v>30</v>
      </c>
      <c r="B28" s="443">
        <f>VLOOKUP(A28,총수신고!$C$6:$I$45,2,FALSE)</f>
        <v>161565</v>
      </c>
      <c r="C28" s="443">
        <f>VLOOKUP(A28,총수신고!$C$6:$I$45,4,FALSE)</f>
        <v>173115.560451</v>
      </c>
      <c r="D28" s="444">
        <f t="shared" si="0"/>
        <v>107.14917243895646</v>
      </c>
      <c r="E28" s="472">
        <f t="shared" si="1"/>
        <v>9.0146976862545376</v>
      </c>
      <c r="F28" s="446">
        <f>VLOOKUP(A28,총수신고!$M$6:$U$45,2,FALSE)</f>
        <v>37301</v>
      </c>
      <c r="G28" s="446">
        <f>VLOOKUP(A28,총수신고!$M$6:$U$45,4,FALSE)</f>
        <v>38179.761086999999</v>
      </c>
      <c r="H28" s="444">
        <f t="shared" si="2"/>
        <v>102.35586468727379</v>
      </c>
      <c r="I28" s="444">
        <f t="shared" si="3"/>
        <v>5.9685557030585707</v>
      </c>
      <c r="J28" s="475">
        <f t="shared" si="4"/>
        <v>18.271205966648388</v>
      </c>
      <c r="K28" s="472">
        <f t="shared" si="5"/>
        <v>24.239761669706958</v>
      </c>
      <c r="L28" s="446">
        <f>VLOOKUP(A28,체크카드!$A$5:$D$44,2,FALSE)</f>
        <v>166288</v>
      </c>
      <c r="M28" s="446">
        <f>VLOOKUP(A28,체크카드!$A$5:$D$44,3,FALSE)</f>
        <v>82829.684999999998</v>
      </c>
      <c r="N28" s="444">
        <f t="shared" si="6"/>
        <v>49.810981550081785</v>
      </c>
      <c r="O28" s="527">
        <f t="shared" si="7"/>
        <v>4.3616773214528246</v>
      </c>
      <c r="P28" s="475">
        <f t="shared" si="8"/>
        <v>10.039596970249089</v>
      </c>
      <c r="Q28" s="472">
        <f t="shared" si="9"/>
        <v>14.401274291701913</v>
      </c>
      <c r="R28" s="446">
        <f>VLOOKUP(A28,스마트금융!$A$5:$D$45,2,FALSE)</f>
        <v>6068</v>
      </c>
      <c r="S28" s="446">
        <f>VLOOKUP(A28,스마트금융!$A$5:$D$45,3,FALSE)</f>
        <v>5864</v>
      </c>
      <c r="T28" s="444">
        <f t="shared" si="10"/>
        <v>96.6381015161503</v>
      </c>
      <c r="U28" s="444">
        <f t="shared" si="11"/>
        <v>3.4865330875795233</v>
      </c>
      <c r="V28" s="475">
        <f t="shared" si="12"/>
        <v>9.4951779218149213</v>
      </c>
      <c r="W28" s="478">
        <f t="shared" si="13"/>
        <v>12.981711009394445</v>
      </c>
      <c r="X28" s="505">
        <f t="shared" si="14"/>
        <v>60.637444657057856</v>
      </c>
      <c r="Y28" s="461">
        <f t="shared" si="15"/>
        <v>24</v>
      </c>
      <c r="Z28" s="443">
        <v>8600</v>
      </c>
      <c r="AA28" s="510">
        <v>5000</v>
      </c>
    </row>
    <row r="29" spans="1:27">
      <c r="A29" s="132" t="s">
        <v>91</v>
      </c>
      <c r="B29" s="443">
        <f>VLOOKUP(A29,총수신고!$C$6:$I$45,2,FALSE)</f>
        <v>140465</v>
      </c>
      <c r="C29" s="443">
        <f>VLOOKUP(A29,총수신고!$C$6:$I$45,4,FALSE)</f>
        <v>152820.093441</v>
      </c>
      <c r="D29" s="444">
        <f t="shared" si="0"/>
        <v>108.79585194959598</v>
      </c>
      <c r="E29" s="472">
        <f t="shared" si="1"/>
        <v>9.1532364881572938</v>
      </c>
      <c r="F29" s="446">
        <f>VLOOKUP(A29,총수신고!$M$6:$U$45,2,FALSE)</f>
        <v>37380</v>
      </c>
      <c r="G29" s="446">
        <f>VLOOKUP(A29,총수신고!$M$6:$U$45,4,FALSE)</f>
        <v>35712.409793999999</v>
      </c>
      <c r="H29" s="444">
        <f t="shared" si="2"/>
        <v>95.538816998394864</v>
      </c>
      <c r="I29" s="444">
        <f t="shared" si="3"/>
        <v>5.5828402556065333</v>
      </c>
      <c r="J29" s="475">
        <f t="shared" si="4"/>
        <v>17.054317390810315</v>
      </c>
      <c r="K29" s="472">
        <f t="shared" si="5"/>
        <v>22.637157646416849</v>
      </c>
      <c r="L29" s="446">
        <f>VLOOKUP(A29,체크카드!$A$5:$D$44,2,FALSE)</f>
        <v>193481</v>
      </c>
      <c r="M29" s="446">
        <f>VLOOKUP(A29,체크카드!$A$5:$D$44,3,FALSE)</f>
        <v>95123.115999999995</v>
      </c>
      <c r="N29" s="444">
        <f t="shared" si="6"/>
        <v>49.164060553749458</v>
      </c>
      <c r="O29" s="527">
        <f t="shared" si="7"/>
        <v>5.0090295261068096</v>
      </c>
      <c r="P29" s="475">
        <f t="shared" si="8"/>
        <v>9.909207528550608</v>
      </c>
      <c r="Q29" s="472">
        <f t="shared" si="9"/>
        <v>14.918237054657418</v>
      </c>
      <c r="R29" s="446">
        <f>VLOOKUP(A29,스마트금융!$A$5:$D$45,2,FALSE)</f>
        <v>6419</v>
      </c>
      <c r="S29" s="446">
        <f>VLOOKUP(A29,스마트금융!$A$5:$D$45,3,FALSE)</f>
        <v>6533</v>
      </c>
      <c r="T29" s="444">
        <f t="shared" si="10"/>
        <v>101.77597756659915</v>
      </c>
      <c r="U29" s="444">
        <f t="shared" si="11"/>
        <v>3.884297520661157</v>
      </c>
      <c r="V29" s="475">
        <f t="shared" si="12"/>
        <v>10</v>
      </c>
      <c r="W29" s="478">
        <f t="shared" si="13"/>
        <v>13.884297520661157</v>
      </c>
      <c r="X29" s="505">
        <f t="shared" si="14"/>
        <v>60.592928709892718</v>
      </c>
      <c r="Y29" s="461">
        <f t="shared" si="15"/>
        <v>25</v>
      </c>
      <c r="Z29" s="443">
        <v>8600</v>
      </c>
      <c r="AA29" s="510">
        <v>5000</v>
      </c>
    </row>
    <row r="30" spans="1:27">
      <c r="A30" s="132" t="s">
        <v>96</v>
      </c>
      <c r="B30" s="443">
        <f>VLOOKUP(A30,총수신고!$C$6:$I$45,2,FALSE)</f>
        <v>110239</v>
      </c>
      <c r="C30" s="443">
        <f>VLOOKUP(A30,총수신고!$C$6:$I$45,4,FALSE)</f>
        <v>115107.26268299999</v>
      </c>
      <c r="D30" s="444">
        <f t="shared" si="0"/>
        <v>104.41609837081249</v>
      </c>
      <c r="E30" s="472">
        <f t="shared" si="1"/>
        <v>8.7847580990636427</v>
      </c>
      <c r="F30" s="446">
        <f>VLOOKUP(A30,총수신고!$M$6:$U$45,2,FALSE)</f>
        <v>35182</v>
      </c>
      <c r="G30" s="446">
        <f>VLOOKUP(A30,총수신고!$M$6:$U$45,4,FALSE)</f>
        <v>35981.229828000003</v>
      </c>
      <c r="H30" s="444">
        <f t="shared" si="2"/>
        <v>102.2717009493491</v>
      </c>
      <c r="I30" s="444">
        <f t="shared" si="3"/>
        <v>5.6248642835560805</v>
      </c>
      <c r="J30" s="475">
        <f t="shared" si="4"/>
        <v>18.256182176900303</v>
      </c>
      <c r="K30" s="472">
        <f t="shared" si="5"/>
        <v>23.881046460456382</v>
      </c>
      <c r="L30" s="446">
        <f>VLOOKUP(A30,체크카드!$A$5:$D$44,2,FALSE)</f>
        <v>161446</v>
      </c>
      <c r="M30" s="446">
        <f>VLOOKUP(A30,체크카드!$A$5:$D$44,3,FALSE)</f>
        <v>80639.233999999997</v>
      </c>
      <c r="N30" s="444">
        <f t="shared" si="6"/>
        <v>49.948115159248289</v>
      </c>
      <c r="O30" s="527">
        <f t="shared" si="7"/>
        <v>4.2463317125632862</v>
      </c>
      <c r="P30" s="475">
        <f t="shared" si="8"/>
        <v>10.067236782279759</v>
      </c>
      <c r="Q30" s="472">
        <f t="shared" si="9"/>
        <v>14.313568494843045</v>
      </c>
      <c r="R30" s="446">
        <f>VLOOKUP(A30,스마트금융!$A$5:$D$45,2,FALSE)</f>
        <v>4406</v>
      </c>
      <c r="S30" s="446">
        <f>VLOOKUP(A30,스마트금융!$A$5:$D$45,3,FALSE)</f>
        <v>4348</v>
      </c>
      <c r="T30" s="444">
        <f t="shared" si="10"/>
        <v>98.683613254652741</v>
      </c>
      <c r="U30" s="444">
        <f t="shared" si="11"/>
        <v>2.5851715321957309</v>
      </c>
      <c r="V30" s="475">
        <f t="shared" si="12"/>
        <v>9.6961597042953613</v>
      </c>
      <c r="W30" s="478">
        <f t="shared" si="13"/>
        <v>12.281331236491091</v>
      </c>
      <c r="X30" s="505">
        <f t="shared" si="14"/>
        <v>59.260704290854164</v>
      </c>
      <c r="Y30" s="461">
        <f t="shared" si="15"/>
        <v>26</v>
      </c>
      <c r="Z30" s="443">
        <v>8000</v>
      </c>
      <c r="AA30" s="510">
        <v>4500</v>
      </c>
    </row>
    <row r="31" spans="1:27">
      <c r="A31" s="132" t="s">
        <v>97</v>
      </c>
      <c r="B31" s="443">
        <f>VLOOKUP(A31,총수신고!$C$6:$I$45,2,FALSE)</f>
        <v>111388</v>
      </c>
      <c r="C31" s="443">
        <f>VLOOKUP(A31,총수신고!$C$6:$I$45,4,FALSE)</f>
        <v>121517.554422</v>
      </c>
      <c r="D31" s="444">
        <f t="shared" si="0"/>
        <v>109.09393688907242</v>
      </c>
      <c r="E31" s="472">
        <f t="shared" si="1"/>
        <v>9.1783150356909804</v>
      </c>
      <c r="F31" s="446">
        <f>VLOOKUP(A31,총수신고!$M$6:$U$45,2,FALSE)</f>
        <v>30447</v>
      </c>
      <c r="G31" s="446">
        <f>VLOOKUP(A31,총수신고!$M$6:$U$45,4,FALSE)</f>
        <v>31292.439032999999</v>
      </c>
      <c r="H31" s="444">
        <f t="shared" si="2"/>
        <v>102.77675643905803</v>
      </c>
      <c r="I31" s="444">
        <f t="shared" si="3"/>
        <v>4.8918762227828383</v>
      </c>
      <c r="J31" s="475">
        <f t="shared" si="4"/>
        <v>18.346337957472844</v>
      </c>
      <c r="K31" s="472">
        <f t="shared" si="5"/>
        <v>23.238214180255682</v>
      </c>
      <c r="L31" s="446">
        <f>VLOOKUP(A31,체크카드!$A$5:$D$44,2,FALSE)</f>
        <v>128698</v>
      </c>
      <c r="M31" s="446">
        <f>VLOOKUP(A31,체크카드!$A$5:$D$44,3,FALSE)</f>
        <v>67315.865999999995</v>
      </c>
      <c r="N31" s="444">
        <f t="shared" si="6"/>
        <v>52.305293011546404</v>
      </c>
      <c r="O31" s="527">
        <f t="shared" si="7"/>
        <v>3.5447446903384607</v>
      </c>
      <c r="P31" s="475">
        <f t="shared" si="8"/>
        <v>10.542335141874954</v>
      </c>
      <c r="Q31" s="472">
        <f t="shared" si="9"/>
        <v>14.087079832213416</v>
      </c>
      <c r="R31" s="446">
        <f>VLOOKUP(A31,스마트금융!$A$5:$D$45,2,FALSE)</f>
        <v>4102</v>
      </c>
      <c r="S31" s="446">
        <f>VLOOKUP(A31,스마트금융!$A$5:$D$45,3,FALSE)</f>
        <v>3980</v>
      </c>
      <c r="T31" s="444">
        <f t="shared" si="10"/>
        <v>97.025841053144816</v>
      </c>
      <c r="U31" s="444">
        <f t="shared" si="11"/>
        <v>2.3663713657173435</v>
      </c>
      <c r="V31" s="475">
        <f t="shared" si="12"/>
        <v>9.5332752750671457</v>
      </c>
      <c r="W31" s="478">
        <f t="shared" si="13"/>
        <v>11.899646640784489</v>
      </c>
      <c r="X31" s="505">
        <f t="shared" si="14"/>
        <v>58.403255688944562</v>
      </c>
      <c r="Y31" s="461">
        <f t="shared" si="15"/>
        <v>27</v>
      </c>
      <c r="Z31" s="443">
        <v>8000</v>
      </c>
      <c r="AA31" s="510">
        <v>4500</v>
      </c>
    </row>
    <row r="32" spans="1:27">
      <c r="A32" s="132" t="s">
        <v>89</v>
      </c>
      <c r="B32" s="443">
        <f>VLOOKUP(A32,총수신고!$C$6:$I$45,2,FALSE)</f>
        <v>114428</v>
      </c>
      <c r="C32" s="443">
        <f>VLOOKUP(A32,총수신고!$C$6:$I$45,4,FALSE)</f>
        <v>134420.75654199999</v>
      </c>
      <c r="D32" s="444">
        <f t="shared" si="0"/>
        <v>117.47190944698849</v>
      </c>
      <c r="E32" s="472">
        <f t="shared" si="1"/>
        <v>9.8831724612243157</v>
      </c>
      <c r="F32" s="446">
        <f>VLOOKUP(A32,총수신고!$M$6:$U$45,2,FALSE)</f>
        <v>32723</v>
      </c>
      <c r="G32" s="446">
        <f>VLOOKUP(A32,총수신고!$M$6:$U$45,4,FALSE)</f>
        <v>33797.532978000003</v>
      </c>
      <c r="H32" s="444">
        <f t="shared" si="2"/>
        <v>103.2837239189561</v>
      </c>
      <c r="I32" s="444">
        <f t="shared" si="3"/>
        <v>5.2834918936629345</v>
      </c>
      <c r="J32" s="475">
        <f t="shared" si="4"/>
        <v>18.436835041073387</v>
      </c>
      <c r="K32" s="472">
        <f t="shared" si="5"/>
        <v>23.72032693473632</v>
      </c>
      <c r="L32" s="446">
        <f>VLOOKUP(A32,체크카드!$A$5:$D$44,2,FALSE)</f>
        <v>116544</v>
      </c>
      <c r="M32" s="446">
        <f>VLOOKUP(A32,체크카드!$A$5:$D$44,3,FALSE)</f>
        <v>58357.309000000001</v>
      </c>
      <c r="N32" s="444">
        <f t="shared" si="6"/>
        <v>50.073198963481602</v>
      </c>
      <c r="O32" s="527">
        <f t="shared" si="7"/>
        <v>3.0730015598431266</v>
      </c>
      <c r="P32" s="475">
        <f t="shared" si="8"/>
        <v>10.092447909282855</v>
      </c>
      <c r="Q32" s="472">
        <f t="shared" si="9"/>
        <v>13.165449469125981</v>
      </c>
      <c r="R32" s="446">
        <f>VLOOKUP(A32,스마트금융!$A$5:$D$45,2,FALSE)</f>
        <v>3319</v>
      </c>
      <c r="S32" s="446">
        <f>VLOOKUP(A32,스마트금융!$A$5:$D$45,3,FALSE)</f>
        <v>3226</v>
      </c>
      <c r="T32" s="444">
        <f t="shared" si="10"/>
        <v>97.197951190117507</v>
      </c>
      <c r="U32" s="444">
        <f t="shared" si="11"/>
        <v>1.9180688507045602</v>
      </c>
      <c r="V32" s="475">
        <f t="shared" si="12"/>
        <v>9.5501859588146996</v>
      </c>
      <c r="W32" s="478">
        <f t="shared" si="13"/>
        <v>11.46825480951926</v>
      </c>
      <c r="X32" s="505">
        <f t="shared" si="14"/>
        <v>58.23720367460588</v>
      </c>
      <c r="Y32" s="461">
        <f t="shared" si="15"/>
        <v>28</v>
      </c>
      <c r="Z32" s="443">
        <v>8000</v>
      </c>
      <c r="AA32" s="510">
        <v>4500</v>
      </c>
    </row>
    <row r="33" spans="1:27">
      <c r="A33" s="132" t="s">
        <v>95</v>
      </c>
      <c r="B33" s="443">
        <f>VLOOKUP(A33,총수신고!$C$6:$I$45,2,FALSE)</f>
        <v>111060</v>
      </c>
      <c r="C33" s="443">
        <f>VLOOKUP(A33,총수신고!$C$6:$I$45,4,FALSE)</f>
        <v>120311.57211199999</v>
      </c>
      <c r="D33" s="444">
        <f t="shared" si="0"/>
        <v>108.33024681433459</v>
      </c>
      <c r="E33" s="472">
        <f t="shared" si="1"/>
        <v>9.1140640947546263</v>
      </c>
      <c r="F33" s="446">
        <f>VLOOKUP(A33,총수신고!$M$6:$U$45,2,FALSE)</f>
        <v>36775</v>
      </c>
      <c r="G33" s="446">
        <f>VLOOKUP(A33,총수신고!$M$6:$U$45,4,FALSE)</f>
        <v>35527.276075000002</v>
      </c>
      <c r="H33" s="444">
        <f t="shared" si="2"/>
        <v>96.607140924541142</v>
      </c>
      <c r="I33" s="444">
        <f t="shared" si="3"/>
        <v>5.5538987200152556</v>
      </c>
      <c r="J33" s="475">
        <f t="shared" si="4"/>
        <v>17.245020352026604</v>
      </c>
      <c r="K33" s="472">
        <f t="shared" si="5"/>
        <v>22.798919072041858</v>
      </c>
      <c r="L33" s="446">
        <f>VLOOKUP(A33,체크카드!$A$5:$D$44,2,FALSE)</f>
        <v>129433</v>
      </c>
      <c r="M33" s="446">
        <f>VLOOKUP(A33,체크카드!$A$5:$D$44,3,FALSE)</f>
        <v>65067.981</v>
      </c>
      <c r="N33" s="444">
        <f t="shared" si="6"/>
        <v>50.271554394937922</v>
      </c>
      <c r="O33" s="527">
        <f t="shared" si="7"/>
        <v>3.4263746998485298</v>
      </c>
      <c r="P33" s="475">
        <f t="shared" si="8"/>
        <v>10.132427217594199</v>
      </c>
      <c r="Q33" s="472">
        <f t="shared" si="9"/>
        <v>13.558801917442729</v>
      </c>
      <c r="R33" s="446">
        <f>VLOOKUP(A33,스마트금융!$A$5:$D$45,2,FALSE)</f>
        <v>4429</v>
      </c>
      <c r="S33" s="446">
        <f>VLOOKUP(A33,스마트금융!$A$5:$D$45,3,FALSE)</f>
        <v>4476</v>
      </c>
      <c r="T33" s="444">
        <f t="shared" si="10"/>
        <v>101.06118762700385</v>
      </c>
      <c r="U33" s="444">
        <f t="shared" si="11"/>
        <v>2.6612759379273441</v>
      </c>
      <c r="V33" s="475">
        <f t="shared" si="12"/>
        <v>9.929768305185025</v>
      </c>
      <c r="W33" s="478">
        <f t="shared" si="13"/>
        <v>12.591044243112369</v>
      </c>
      <c r="X33" s="505">
        <f t="shared" si="14"/>
        <v>58.062829327351587</v>
      </c>
      <c r="Y33" s="461">
        <f t="shared" si="15"/>
        <v>29</v>
      </c>
      <c r="Z33" s="443">
        <v>8000</v>
      </c>
      <c r="AA33" s="510">
        <v>4500</v>
      </c>
    </row>
    <row r="34" spans="1:27">
      <c r="A34" s="132" t="s">
        <v>94</v>
      </c>
      <c r="B34" s="443">
        <f>VLOOKUP(A34,총수신고!$C$6:$I$45,2,FALSE)</f>
        <v>101621</v>
      </c>
      <c r="C34" s="443">
        <f>VLOOKUP(A34,총수신고!$C$6:$I$45,4,FALSE)</f>
        <v>104911.57534</v>
      </c>
      <c r="D34" s="444">
        <f t="shared" si="0"/>
        <v>103.2380859664833</v>
      </c>
      <c r="E34" s="472">
        <f t="shared" si="1"/>
        <v>8.6856493009836999</v>
      </c>
      <c r="F34" s="446">
        <f>VLOOKUP(A34,총수신고!$M$6:$U$45,2,FALSE)</f>
        <v>24369</v>
      </c>
      <c r="G34" s="446">
        <f>VLOOKUP(A34,총수신고!$M$6:$U$45,4,FALSE)</f>
        <v>24422.881001000002</v>
      </c>
      <c r="H34" s="444">
        <f t="shared" si="2"/>
        <v>100.22110468628176</v>
      </c>
      <c r="I34" s="444">
        <f t="shared" si="3"/>
        <v>3.8179737518911043</v>
      </c>
      <c r="J34" s="475">
        <f t="shared" si="4"/>
        <v>17.89013703829086</v>
      </c>
      <c r="K34" s="472">
        <f t="shared" si="5"/>
        <v>21.708110790181962</v>
      </c>
      <c r="L34" s="446">
        <f>VLOOKUP(A34,체크카드!$A$5:$D$44,2,FALSE)</f>
        <v>123179</v>
      </c>
      <c r="M34" s="446">
        <f>VLOOKUP(A34,체크카드!$A$5:$D$44,3,FALSE)</f>
        <v>64331.936999999998</v>
      </c>
      <c r="N34" s="444">
        <f t="shared" si="6"/>
        <v>52.226383555638542</v>
      </c>
      <c r="O34" s="527">
        <f t="shared" si="7"/>
        <v>3.3876158125922107</v>
      </c>
      <c r="P34" s="475">
        <f t="shared" si="8"/>
        <v>10.52643063427837</v>
      </c>
      <c r="Q34" s="472">
        <f t="shared" si="9"/>
        <v>13.91404644687058</v>
      </c>
      <c r="R34" s="446">
        <f>VLOOKUP(A34,스마트금융!$A$5:$D$45,2,FALSE)</f>
        <v>3779</v>
      </c>
      <c r="S34" s="446">
        <f>VLOOKUP(A34,스마트금융!$A$5:$D$45,3,FALSE)</f>
        <v>3806</v>
      </c>
      <c r="T34" s="444">
        <f t="shared" si="10"/>
        <v>100.71447472876423</v>
      </c>
      <c r="U34" s="444">
        <f t="shared" si="11"/>
        <v>2.2629169391759318</v>
      </c>
      <c r="V34" s="475">
        <f t="shared" si="12"/>
        <v>9.8957020248574565</v>
      </c>
      <c r="W34" s="478">
        <f t="shared" si="13"/>
        <v>12.158618964033389</v>
      </c>
      <c r="X34" s="505">
        <f t="shared" si="14"/>
        <v>56.466425502069626</v>
      </c>
      <c r="Y34" s="461">
        <f t="shared" si="15"/>
        <v>30</v>
      </c>
      <c r="Z34" s="443">
        <v>8000</v>
      </c>
      <c r="AA34" s="510">
        <v>4500</v>
      </c>
    </row>
    <row r="35" spans="1:27">
      <c r="A35" s="132" t="s">
        <v>101</v>
      </c>
      <c r="B35" s="443">
        <f>VLOOKUP(A35,총수신고!$C$6:$I$45,2,FALSE)</f>
        <v>120659</v>
      </c>
      <c r="C35" s="443">
        <f>VLOOKUP(A35,총수신고!$C$6:$I$45,4,FALSE)</f>
        <v>126542.61062399999</v>
      </c>
      <c r="D35" s="444">
        <f t="shared" si="0"/>
        <v>104.87623022236218</v>
      </c>
      <c r="E35" s="472">
        <f t="shared" si="1"/>
        <v>8.8234700129601329</v>
      </c>
      <c r="F35" s="446">
        <f>VLOOKUP(A35,총수신고!$M$6:$U$45,2,FALSE)</f>
        <v>26497</v>
      </c>
      <c r="G35" s="446">
        <f>VLOOKUP(A35,총수신고!$M$6:$U$45,4,FALSE)</f>
        <v>26469.439880000002</v>
      </c>
      <c r="H35" s="444">
        <f t="shared" si="2"/>
        <v>99.895987772200641</v>
      </c>
      <c r="I35" s="444">
        <f t="shared" si="3"/>
        <v>4.1379076729302211</v>
      </c>
      <c r="J35" s="475">
        <f t="shared" si="4"/>
        <v>17.832101496130509</v>
      </c>
      <c r="K35" s="472">
        <f t="shared" si="5"/>
        <v>21.970009169060731</v>
      </c>
      <c r="L35" s="446">
        <f>VLOOKUP(A35,체크카드!$A$5:$D$44,2,FALSE)</f>
        <v>101103</v>
      </c>
      <c r="M35" s="446">
        <f>VLOOKUP(A35,체크카드!$A$5:$D$44,3,FALSE)</f>
        <v>54237.673999999999</v>
      </c>
      <c r="N35" s="444">
        <f t="shared" si="6"/>
        <v>53.645959071441993</v>
      </c>
      <c r="O35" s="527">
        <f t="shared" si="7"/>
        <v>2.8560682399571058</v>
      </c>
      <c r="P35" s="475">
        <f t="shared" si="8"/>
        <v>10.812551598049597</v>
      </c>
      <c r="Q35" s="472">
        <f t="shared" si="9"/>
        <v>13.668619838006702</v>
      </c>
      <c r="R35" s="446">
        <f>VLOOKUP(A35,스마트금융!$A$5:$D$45,2,FALSE)</f>
        <v>3526</v>
      </c>
      <c r="S35" s="446">
        <f>VLOOKUP(A35,스마트금융!$A$5:$D$45,3,FALSE)</f>
        <v>3460</v>
      </c>
      <c r="T35" s="444">
        <f t="shared" si="10"/>
        <v>98.128190584231419</v>
      </c>
      <c r="U35" s="444">
        <f t="shared" si="11"/>
        <v>2.0571972174326656</v>
      </c>
      <c r="V35" s="475">
        <f t="shared" si="12"/>
        <v>9.641586642586585</v>
      </c>
      <c r="W35" s="478">
        <f t="shared" si="13"/>
        <v>11.698783860019251</v>
      </c>
      <c r="X35" s="505">
        <f t="shared" si="14"/>
        <v>56.160882880046813</v>
      </c>
      <c r="Y35" s="461">
        <f t="shared" si="15"/>
        <v>31</v>
      </c>
      <c r="Z35" s="443">
        <v>7000</v>
      </c>
      <c r="AA35" s="510">
        <v>4000</v>
      </c>
    </row>
    <row r="36" spans="1:27">
      <c r="A36" s="132" t="s">
        <v>98</v>
      </c>
      <c r="B36" s="443">
        <f>VLOOKUP(A36,총수신고!$C$6:$I$45,2,FALSE)</f>
        <v>138961</v>
      </c>
      <c r="C36" s="443">
        <f>VLOOKUP(A36,총수신고!$C$6:$I$45,4,FALSE)</f>
        <v>144198.661941</v>
      </c>
      <c r="D36" s="444">
        <f t="shared" si="0"/>
        <v>103.7691596498298</v>
      </c>
      <c r="E36" s="472">
        <f t="shared" si="1"/>
        <v>8.7303297086389424</v>
      </c>
      <c r="F36" s="446">
        <f>VLOOKUP(A36,총수신고!$M$6:$U$45,2,FALSE)</f>
        <v>26692</v>
      </c>
      <c r="G36" s="446">
        <f>VLOOKUP(A36,총수신고!$M$6:$U$45,4,FALSE)</f>
        <v>26679.172422</v>
      </c>
      <c r="H36" s="444">
        <f t="shared" si="2"/>
        <v>99.951942237374496</v>
      </c>
      <c r="I36" s="444">
        <f t="shared" si="3"/>
        <v>4.1706946868881811</v>
      </c>
      <c r="J36" s="475">
        <f t="shared" si="4"/>
        <v>17.842089742149131</v>
      </c>
      <c r="K36" s="472">
        <f t="shared" si="5"/>
        <v>22.01278442903731</v>
      </c>
      <c r="L36" s="446">
        <f>VLOOKUP(A36,체크카드!$A$5:$D$44,2,FALSE)</f>
        <v>99260</v>
      </c>
      <c r="M36" s="446">
        <f>VLOOKUP(A36,체크카드!$A$5:$D$44,3,FALSE)</f>
        <v>49983.45</v>
      </c>
      <c r="N36" s="444">
        <f t="shared" si="6"/>
        <v>50.356085029216203</v>
      </c>
      <c r="O36" s="527">
        <f t="shared" si="7"/>
        <v>2.6320476808884541</v>
      </c>
      <c r="P36" s="475">
        <f t="shared" si="8"/>
        <v>10.149464695543518</v>
      </c>
      <c r="Q36" s="472">
        <f t="shared" si="9"/>
        <v>12.781512376431973</v>
      </c>
      <c r="R36" s="446">
        <f>VLOOKUP(A36,스마트금융!$A$5:$D$45,2,FALSE)</f>
        <v>4481</v>
      </c>
      <c r="S36" s="446">
        <f>VLOOKUP(A36,스마트금융!$A$5:$D$45,3,FALSE)</f>
        <v>4460</v>
      </c>
      <c r="T36" s="444">
        <f t="shared" si="10"/>
        <v>99.531354608346362</v>
      </c>
      <c r="U36" s="444">
        <f t="shared" si="11"/>
        <v>2.6517628872108925</v>
      </c>
      <c r="V36" s="475">
        <f t="shared" si="12"/>
        <v>9.7794545420323793</v>
      </c>
      <c r="W36" s="478">
        <f t="shared" si="13"/>
        <v>12.431217429243272</v>
      </c>
      <c r="X36" s="505">
        <f t="shared" si="14"/>
        <v>55.955843943351496</v>
      </c>
      <c r="Y36" s="461">
        <f t="shared" si="15"/>
        <v>32</v>
      </c>
      <c r="Z36" s="443">
        <v>7000</v>
      </c>
      <c r="AA36" s="510">
        <v>4000</v>
      </c>
    </row>
    <row r="37" spans="1:27">
      <c r="A37" s="132" t="s">
        <v>106</v>
      </c>
      <c r="B37" s="443">
        <f>VLOOKUP(A37,총수신고!$C$6:$I$45,2,FALSE)</f>
        <v>102733</v>
      </c>
      <c r="C37" s="443">
        <f>VLOOKUP(A37,총수신고!$C$6:$I$45,4,FALSE)</f>
        <v>109709.76779699999</v>
      </c>
      <c r="D37" s="444">
        <f t="shared" si="0"/>
        <v>106.79116525069841</v>
      </c>
      <c r="E37" s="472">
        <f t="shared" si="1"/>
        <v>8.9845777469382462</v>
      </c>
      <c r="F37" s="446">
        <f>VLOOKUP(A37,총수신고!$M$6:$U$45,2,FALSE)</f>
        <v>21628</v>
      </c>
      <c r="G37" s="446">
        <f>VLOOKUP(A37,총수신고!$M$6:$U$45,4,FALSE)</f>
        <v>21252.886484999999</v>
      </c>
      <c r="H37" s="444">
        <f t="shared" si="2"/>
        <v>98.265611637691876</v>
      </c>
      <c r="I37" s="444">
        <f t="shared" si="3"/>
        <v>3.3224156784913608</v>
      </c>
      <c r="J37" s="475">
        <f t="shared" si="4"/>
        <v>17.541068459110782</v>
      </c>
      <c r="K37" s="472">
        <f t="shared" si="5"/>
        <v>20.863484137602143</v>
      </c>
      <c r="L37" s="446">
        <f>VLOOKUP(A37,체크카드!$A$5:$D$44,2,FALSE)</f>
        <v>103189</v>
      </c>
      <c r="M37" s="446">
        <f>VLOOKUP(A37,체크카드!$A$5:$D$44,3,FALSE)</f>
        <v>51777.803</v>
      </c>
      <c r="N37" s="444">
        <f t="shared" si="6"/>
        <v>50.17763812034228</v>
      </c>
      <c r="O37" s="527">
        <f t="shared" si="7"/>
        <v>2.7265354093734877</v>
      </c>
      <c r="P37" s="475">
        <f t="shared" si="8"/>
        <v>10.113498027352493</v>
      </c>
      <c r="Q37" s="472">
        <f t="shared" si="9"/>
        <v>12.840033436725982</v>
      </c>
      <c r="R37" s="446">
        <f>VLOOKUP(A37,스마트금융!$A$5:$D$45,2,FALSE)</f>
        <v>3723</v>
      </c>
      <c r="S37" s="446">
        <f>VLOOKUP(A37,스마트금융!$A$5:$D$45,3,FALSE)</f>
        <v>3665</v>
      </c>
      <c r="T37" s="444">
        <f t="shared" si="10"/>
        <v>98.44211657265646</v>
      </c>
      <c r="U37" s="444">
        <f t="shared" si="11"/>
        <v>2.1790831797372019</v>
      </c>
      <c r="V37" s="475">
        <f t="shared" si="12"/>
        <v>9.6724314446637365</v>
      </c>
      <c r="W37" s="478">
        <f t="shared" si="13"/>
        <v>11.851514624400938</v>
      </c>
      <c r="X37" s="505">
        <f t="shared" si="14"/>
        <v>54.539609945667308</v>
      </c>
      <c r="Y37" s="461">
        <f t="shared" si="15"/>
        <v>33</v>
      </c>
      <c r="Z37" s="443">
        <v>7000</v>
      </c>
      <c r="AA37" s="510">
        <v>4000</v>
      </c>
    </row>
    <row r="38" spans="1:27">
      <c r="A38" s="132" t="s">
        <v>103</v>
      </c>
      <c r="B38" s="443">
        <f>VLOOKUP(A38,총수신고!$C$6:$I$45,2,FALSE)</f>
        <v>72426</v>
      </c>
      <c r="C38" s="443">
        <f>VLOOKUP(A38,총수신고!$C$6:$I$45,4,FALSE)</f>
        <v>79926.101607999997</v>
      </c>
      <c r="D38" s="444">
        <f t="shared" si="0"/>
        <v>110.35553752519813</v>
      </c>
      <c r="E38" s="472">
        <f t="shared" si="1"/>
        <v>9.284456297229319</v>
      </c>
      <c r="F38" s="446">
        <f>VLOOKUP(A38,총수신고!$M$6:$U$45,2,FALSE)</f>
        <v>20863</v>
      </c>
      <c r="G38" s="446">
        <f>VLOOKUP(A38,총수신고!$M$6:$U$45,4,FALSE)</f>
        <v>20303.624392999998</v>
      </c>
      <c r="H38" s="444">
        <f t="shared" si="2"/>
        <v>97.318815093706561</v>
      </c>
      <c r="I38" s="444">
        <f t="shared" si="3"/>
        <v>3.1740196825082156</v>
      </c>
      <c r="J38" s="475">
        <f t="shared" si="4"/>
        <v>17.372058947867625</v>
      </c>
      <c r="K38" s="472">
        <f t="shared" si="5"/>
        <v>20.546078630375842</v>
      </c>
      <c r="L38" s="446">
        <f>VLOOKUP(A38,체크카드!$A$5:$D$44,2,FALSE)</f>
        <v>107227</v>
      </c>
      <c r="M38" s="446">
        <f>VLOOKUP(A38,체크카드!$A$5:$D$44,3,FALSE)</f>
        <v>53094.129000000001</v>
      </c>
      <c r="N38" s="444">
        <f t="shared" si="6"/>
        <v>49.515634122002858</v>
      </c>
      <c r="O38" s="527">
        <f t="shared" si="7"/>
        <v>2.7958510087487447</v>
      </c>
      <c r="P38" s="475">
        <f t="shared" si="8"/>
        <v>9.9800685479647235</v>
      </c>
      <c r="Q38" s="472">
        <f t="shared" si="9"/>
        <v>12.775919556713468</v>
      </c>
      <c r="R38" s="446">
        <f>VLOOKUP(A38,스마트금융!$A$5:$D$45,2,FALSE)</f>
        <v>3148</v>
      </c>
      <c r="S38" s="446">
        <f>VLOOKUP(A38,스마트금융!$A$5:$D$45,3,FALSE)</f>
        <v>3042</v>
      </c>
      <c r="T38" s="444">
        <f t="shared" si="10"/>
        <v>96.632782719186778</v>
      </c>
      <c r="U38" s="444">
        <f t="shared" si="11"/>
        <v>1.8086687674653665</v>
      </c>
      <c r="V38" s="475">
        <f t="shared" si="12"/>
        <v>9.4946553233500683</v>
      </c>
      <c r="W38" s="478">
        <f t="shared" si="13"/>
        <v>11.303324090815435</v>
      </c>
      <c r="X38" s="505">
        <f t="shared" si="14"/>
        <v>53.909778575134069</v>
      </c>
      <c r="Y38" s="461">
        <f t="shared" si="15"/>
        <v>34</v>
      </c>
      <c r="Z38" s="443">
        <v>7000</v>
      </c>
      <c r="AA38" s="510">
        <v>4000</v>
      </c>
    </row>
    <row r="39" spans="1:27">
      <c r="A39" s="132" t="s">
        <v>102</v>
      </c>
      <c r="B39" s="443">
        <f>VLOOKUP(A39,총수신고!$C$6:$I$45,2,FALSE)</f>
        <v>94709</v>
      </c>
      <c r="C39" s="443">
        <f>VLOOKUP(A39,총수신고!$C$6:$I$45,4,FALSE)</f>
        <v>96701.369227999996</v>
      </c>
      <c r="D39" s="444">
        <f t="shared" si="0"/>
        <v>102.10367465393998</v>
      </c>
      <c r="E39" s="472">
        <f t="shared" si="1"/>
        <v>8.5902087595248169</v>
      </c>
      <c r="F39" s="446">
        <f>VLOOKUP(A39,총수신고!$M$6:$U$45,2,FALSE)</f>
        <v>21185</v>
      </c>
      <c r="G39" s="446">
        <f>VLOOKUP(A39,총수신고!$M$6:$U$45,4,FALSE)</f>
        <v>21572.060154999999</v>
      </c>
      <c r="H39" s="444">
        <f t="shared" si="2"/>
        <v>101.82704817087563</v>
      </c>
      <c r="I39" s="444">
        <f t="shared" si="3"/>
        <v>3.3723113764765764</v>
      </c>
      <c r="J39" s="475">
        <f t="shared" si="4"/>
        <v>18.176808683999301</v>
      </c>
      <c r="K39" s="472">
        <f t="shared" si="5"/>
        <v>21.549120060475879</v>
      </c>
      <c r="L39" s="446">
        <f>VLOOKUP(A39,체크카드!$A$5:$D$44,2,FALSE)</f>
        <v>89892</v>
      </c>
      <c r="M39" s="446">
        <f>VLOOKUP(A39,체크카드!$A$5:$D$44,3,FALSE)</f>
        <v>43486.516000000003</v>
      </c>
      <c r="N39" s="444">
        <f t="shared" si="6"/>
        <v>48.376402794464475</v>
      </c>
      <c r="O39" s="527">
        <f t="shared" si="7"/>
        <v>2.289929638464705</v>
      </c>
      <c r="P39" s="475">
        <f t="shared" si="8"/>
        <v>9.7504520451686965</v>
      </c>
      <c r="Q39" s="472">
        <f t="shared" si="9"/>
        <v>12.040381683633402</v>
      </c>
      <c r="R39" s="446">
        <f>VLOOKUP(A39,스마트금융!$A$5:$D$45,2,FALSE)</f>
        <v>3096</v>
      </c>
      <c r="S39" s="446">
        <f>VLOOKUP(A39,스마트금융!$A$5:$D$45,3,FALSE)</f>
        <v>3074</v>
      </c>
      <c r="T39" s="444">
        <f t="shared" si="10"/>
        <v>99.289405684754513</v>
      </c>
      <c r="U39" s="444">
        <f t="shared" si="11"/>
        <v>1.8276948688982697</v>
      </c>
      <c r="V39" s="475">
        <f t="shared" si="12"/>
        <v>9.7556818473968967</v>
      </c>
      <c r="W39" s="478">
        <f t="shared" si="13"/>
        <v>11.583376716295167</v>
      </c>
      <c r="X39" s="505">
        <f t="shared" si="14"/>
        <v>53.763087219929261</v>
      </c>
      <c r="Y39" s="461">
        <f t="shared" si="15"/>
        <v>35</v>
      </c>
      <c r="Z39" s="443">
        <v>7000</v>
      </c>
      <c r="AA39" s="510">
        <v>4000</v>
      </c>
    </row>
    <row r="40" spans="1:27">
      <c r="A40" s="132" t="s">
        <v>104</v>
      </c>
      <c r="B40" s="443">
        <f>VLOOKUP(A40,총수신고!$C$6:$I$45,2,FALSE)</f>
        <v>64326</v>
      </c>
      <c r="C40" s="443">
        <f>VLOOKUP(A40,총수신고!$C$6:$I$45,4,FALSE)</f>
        <v>68152.834631000005</v>
      </c>
      <c r="D40" s="444">
        <f t="shared" si="0"/>
        <v>105.94912575164008</v>
      </c>
      <c r="E40" s="472">
        <f t="shared" si="1"/>
        <v>8.913735095043565</v>
      </c>
      <c r="F40" s="446">
        <f>VLOOKUP(A40,총수신고!$M$6:$U$45,2,FALSE)</f>
        <v>18598</v>
      </c>
      <c r="G40" s="446">
        <f>VLOOKUP(A40,총수신고!$M$6:$U$45,4,FALSE)</f>
        <v>18511.132745999999</v>
      </c>
      <c r="H40" s="444">
        <f t="shared" si="2"/>
        <v>99.532921529196685</v>
      </c>
      <c r="I40" s="444">
        <f t="shared" si="3"/>
        <v>2.8938035172470475</v>
      </c>
      <c r="J40" s="475">
        <f t="shared" si="4"/>
        <v>17.767291745113994</v>
      </c>
      <c r="K40" s="472">
        <f t="shared" si="5"/>
        <v>20.661095262361041</v>
      </c>
      <c r="L40" s="446">
        <f>VLOOKUP(A40,체크카드!$A$5:$D$44,2,FALSE)</f>
        <v>67040</v>
      </c>
      <c r="M40" s="446">
        <f>VLOOKUP(A40,체크카드!$A$5:$D$44,3,FALSE)</f>
        <v>35047.116999999998</v>
      </c>
      <c r="N40" s="444">
        <f t="shared" si="6"/>
        <v>52.277919152744623</v>
      </c>
      <c r="O40" s="527">
        <f t="shared" si="7"/>
        <v>1.8455245290526427</v>
      </c>
      <c r="P40" s="475">
        <f t="shared" si="8"/>
        <v>10.536817834218327</v>
      </c>
      <c r="Q40" s="472">
        <f t="shared" si="9"/>
        <v>12.38234236327097</v>
      </c>
      <c r="R40" s="446">
        <f>VLOOKUP(A40,스마트금융!$A$5:$D$45,2,FALSE)</f>
        <v>1815</v>
      </c>
      <c r="S40" s="446">
        <f>VLOOKUP(A40,스마트금융!$A$5:$D$45,3,FALSE)</f>
        <v>1804</v>
      </c>
      <c r="T40" s="444">
        <f t="shared" si="10"/>
        <v>99.393939393939391</v>
      </c>
      <c r="U40" s="444">
        <f t="shared" si="11"/>
        <v>1.0725964682799216</v>
      </c>
      <c r="V40" s="475">
        <f t="shared" si="12"/>
        <v>9.7659528083529317</v>
      </c>
      <c r="W40" s="478">
        <f t="shared" si="13"/>
        <v>10.838549276632854</v>
      </c>
      <c r="X40" s="505">
        <f t="shared" si="14"/>
        <v>52.795721997308434</v>
      </c>
      <c r="Y40" s="461">
        <f t="shared" si="15"/>
        <v>36</v>
      </c>
      <c r="Z40" s="443">
        <v>6000</v>
      </c>
      <c r="AA40" s="510">
        <v>3500</v>
      </c>
    </row>
    <row r="41" spans="1:27">
      <c r="A41" s="132" t="s">
        <v>100</v>
      </c>
      <c r="B41" s="443">
        <f>VLOOKUP(A41,총수신고!$C$6:$I$45,2,FALSE)</f>
        <v>63569</v>
      </c>
      <c r="C41" s="443">
        <f>VLOOKUP(A41,총수신고!$C$6:$I$45,4,FALSE)</f>
        <v>65792.214259999993</v>
      </c>
      <c r="D41" s="444">
        <f t="shared" si="0"/>
        <v>103.4973245764445</v>
      </c>
      <c r="E41" s="472">
        <f t="shared" si="1"/>
        <v>8.7074596205989678</v>
      </c>
      <c r="F41" s="446">
        <f>VLOOKUP(A41,총수신고!$M$6:$U$45,2,FALSE)</f>
        <v>20737</v>
      </c>
      <c r="G41" s="446">
        <f>VLOOKUP(A41,총수신고!$M$6:$U$45,4,FALSE)</f>
        <v>20216.477986000002</v>
      </c>
      <c r="H41" s="444">
        <f t="shared" si="2"/>
        <v>97.489887572937278</v>
      </c>
      <c r="I41" s="444">
        <f t="shared" si="3"/>
        <v>3.1603962817929605</v>
      </c>
      <c r="J41" s="475">
        <f t="shared" si="4"/>
        <v>17.402596528814254</v>
      </c>
      <c r="K41" s="472">
        <f t="shared" si="5"/>
        <v>20.562992810607213</v>
      </c>
      <c r="L41" s="446">
        <f>VLOOKUP(A41,체크카드!$A$5:$D$44,2,FALSE)</f>
        <v>90004</v>
      </c>
      <c r="M41" s="446">
        <f>VLOOKUP(A41,체크카드!$A$5:$D$44,3,FALSE)</f>
        <v>45584.495999999999</v>
      </c>
      <c r="N41" s="444">
        <f t="shared" si="6"/>
        <v>50.647189013821603</v>
      </c>
      <c r="O41" s="527">
        <f t="shared" si="7"/>
        <v>2.4004058739696643</v>
      </c>
      <c r="P41" s="475">
        <f t="shared" si="8"/>
        <v>10.208137835299523</v>
      </c>
      <c r="Q41" s="472">
        <f t="shared" si="9"/>
        <v>12.608543709269187</v>
      </c>
      <c r="R41" s="446">
        <f>VLOOKUP(A41,스마트금융!$A$5:$D$45,2,FALSE)</f>
        <v>2657</v>
      </c>
      <c r="S41" s="446">
        <f>VLOOKUP(A41,스마트금융!$A$5:$D$45,3,FALSE)</f>
        <v>2538</v>
      </c>
      <c r="T41" s="444">
        <f t="shared" si="10"/>
        <v>95.521264584117432</v>
      </c>
      <c r="U41" s="444">
        <f t="shared" si="11"/>
        <v>1.5090076698971402</v>
      </c>
      <c r="V41" s="475">
        <f t="shared" si="12"/>
        <v>9.3854430945270142</v>
      </c>
      <c r="W41" s="478">
        <f t="shared" si="13"/>
        <v>10.894450764424155</v>
      </c>
      <c r="X41" s="505">
        <f t="shared" si="14"/>
        <v>52.773446904899522</v>
      </c>
      <c r="Y41" s="461">
        <f t="shared" si="15"/>
        <v>37</v>
      </c>
      <c r="Z41" s="443">
        <v>6000</v>
      </c>
      <c r="AA41" s="510">
        <v>3500</v>
      </c>
    </row>
    <row r="42" spans="1:27">
      <c r="A42" s="132" t="s">
        <v>99</v>
      </c>
      <c r="B42" s="443">
        <f>VLOOKUP(A42,총수신고!$C$6:$I$45,2,FALSE)</f>
        <v>101589</v>
      </c>
      <c r="C42" s="443">
        <f>VLOOKUP(A42,총수신고!$C$6:$I$45,4,FALSE)</f>
        <v>103812.895831</v>
      </c>
      <c r="D42" s="444">
        <f t="shared" si="0"/>
        <v>102.18911085944345</v>
      </c>
      <c r="E42" s="472">
        <f t="shared" si="1"/>
        <v>8.5973966971126057</v>
      </c>
      <c r="F42" s="446">
        <f>VLOOKUP(A42,총수신고!$M$6:$U$45,2,FALSE)</f>
        <v>25162</v>
      </c>
      <c r="G42" s="446">
        <f>VLOOKUP(A42,총수신고!$M$6:$U$45,4,FALSE)</f>
        <v>23268.551044</v>
      </c>
      <c r="H42" s="444">
        <f t="shared" si="2"/>
        <v>92.474966393768369</v>
      </c>
      <c r="I42" s="444">
        <f t="shared" si="3"/>
        <v>3.6375199603557342</v>
      </c>
      <c r="J42" s="475">
        <f t="shared" si="4"/>
        <v>16.507399579904153</v>
      </c>
      <c r="K42" s="472">
        <f t="shared" si="5"/>
        <v>20.144919540259888</v>
      </c>
      <c r="L42" s="446">
        <f>VLOOKUP(A42,체크카드!$A$5:$D$44,2,FALSE)</f>
        <v>63300</v>
      </c>
      <c r="M42" s="446">
        <f>VLOOKUP(A42,체크카드!$A$5:$D$44,3,FALSE)</f>
        <v>34605.103999999999</v>
      </c>
      <c r="N42" s="444">
        <f t="shared" si="6"/>
        <v>54.668410742496057</v>
      </c>
      <c r="O42" s="527">
        <f t="shared" si="7"/>
        <v>1.8222488389677738</v>
      </c>
      <c r="P42" s="475">
        <f t="shared" si="8"/>
        <v>11.018630707103485</v>
      </c>
      <c r="Q42" s="472">
        <f t="shared" si="9"/>
        <v>12.840879546071259</v>
      </c>
      <c r="R42" s="446">
        <f>VLOOKUP(A42,스마트금융!$A$5:$D$45,2,FALSE)</f>
        <v>2673</v>
      </c>
      <c r="S42" s="446">
        <f>VLOOKUP(A42,스마트금융!$A$5:$D$45,3,FALSE)</f>
        <v>2601</v>
      </c>
      <c r="T42" s="444">
        <f t="shared" si="10"/>
        <v>97.306397306397301</v>
      </c>
      <c r="U42" s="444">
        <f t="shared" si="11"/>
        <v>1.5464653070931684</v>
      </c>
      <c r="V42" s="475">
        <f t="shared" si="12"/>
        <v>9.5608413333807487</v>
      </c>
      <c r="W42" s="478">
        <f t="shared" si="13"/>
        <v>11.107306640473917</v>
      </c>
      <c r="X42" s="505">
        <f t="shared" si="14"/>
        <v>52.690502423917664</v>
      </c>
      <c r="Y42" s="461">
        <f t="shared" si="15"/>
        <v>38</v>
      </c>
      <c r="Z42" s="443">
        <v>6000</v>
      </c>
      <c r="AA42" s="510">
        <v>3500</v>
      </c>
    </row>
    <row r="43" spans="1:27">
      <c r="A43" s="132" t="s">
        <v>107</v>
      </c>
      <c r="B43" s="443">
        <f>VLOOKUP(A43,총수신고!$C$6:$I$45,2,FALSE)</f>
        <v>98016</v>
      </c>
      <c r="C43" s="443">
        <f>VLOOKUP(A43,총수신고!$C$6:$I$45,4,FALSE)</f>
        <v>101580.36300100001</v>
      </c>
      <c r="D43" s="444">
        <f t="shared" si="0"/>
        <v>103.63651138691642</v>
      </c>
      <c r="E43" s="472">
        <f t="shared" si="1"/>
        <v>8.7191697158778965</v>
      </c>
      <c r="F43" s="446">
        <f>VLOOKUP(A43,총수신고!$M$6:$U$45,2,FALSE)</f>
        <v>20444</v>
      </c>
      <c r="G43" s="446">
        <f>VLOOKUP(A43,총수신고!$M$6:$U$45,4,FALSE)</f>
        <v>20040.048232000001</v>
      </c>
      <c r="H43" s="444">
        <f t="shared" si="2"/>
        <v>98.024106006652318</v>
      </c>
      <c r="I43" s="444">
        <f t="shared" si="3"/>
        <v>3.1328154173651712</v>
      </c>
      <c r="J43" s="475">
        <f t="shared" si="4"/>
        <v>17.497958089809416</v>
      </c>
      <c r="K43" s="472">
        <f t="shared" si="5"/>
        <v>20.630773507174588</v>
      </c>
      <c r="L43" s="446">
        <f>VLOOKUP(A43,체크카드!$A$5:$D$44,2,FALSE)</f>
        <v>75365</v>
      </c>
      <c r="M43" s="446">
        <f>VLOOKUP(A43,체크카드!$A$5:$D$44,3,FALSE)</f>
        <v>37605.264000000003</v>
      </c>
      <c r="N43" s="444">
        <f t="shared" si="6"/>
        <v>49.897517415245808</v>
      </c>
      <c r="O43" s="527">
        <f t="shared" si="7"/>
        <v>1.9802324149373061</v>
      </c>
      <c r="P43" s="475">
        <f t="shared" si="8"/>
        <v>10.057038610278711</v>
      </c>
      <c r="Q43" s="472">
        <f t="shared" si="9"/>
        <v>12.037271025216018</v>
      </c>
      <c r="R43" s="446">
        <f>VLOOKUP(A43,스마트금융!$A$5:$D$45,2,FALSE)</f>
        <v>2681</v>
      </c>
      <c r="S43" s="446">
        <f>VLOOKUP(A43,스마트금융!$A$5:$D$45,3,FALSE)</f>
        <v>2652</v>
      </c>
      <c r="T43" s="444">
        <f t="shared" si="10"/>
        <v>98.918314061917187</v>
      </c>
      <c r="U43" s="444">
        <f t="shared" si="11"/>
        <v>1.576788156251858</v>
      </c>
      <c r="V43" s="475">
        <f t="shared" si="12"/>
        <v>9.7192202351667909</v>
      </c>
      <c r="W43" s="478">
        <f t="shared" si="13"/>
        <v>11.296008391418649</v>
      </c>
      <c r="X43" s="505">
        <f t="shared" si="14"/>
        <v>52.683222639687159</v>
      </c>
      <c r="Y43" s="461">
        <f t="shared" si="15"/>
        <v>39</v>
      </c>
      <c r="Z43" s="443">
        <v>6000</v>
      </c>
      <c r="AA43" s="510">
        <v>3500</v>
      </c>
    </row>
    <row r="44" spans="1:27">
      <c r="A44" s="132" t="s">
        <v>105</v>
      </c>
      <c r="B44" s="443">
        <f>VLOOKUP(A44,총수신고!$C$6:$I$45,2,FALSE)</f>
        <v>33147</v>
      </c>
      <c r="C44" s="443">
        <f>VLOOKUP(A44,총수신고!$C$6:$I$45,4,FALSE)</f>
        <v>36338.038419999997</v>
      </c>
      <c r="D44" s="444">
        <f t="shared" si="0"/>
        <v>109.62692979756841</v>
      </c>
      <c r="E44" s="472">
        <f t="shared" si="1"/>
        <v>9.2231569120176164</v>
      </c>
      <c r="F44" s="446">
        <f>VLOOKUP(A44,총수신고!$M$6:$U$45,2,FALSE)</f>
        <v>7812</v>
      </c>
      <c r="G44" s="446">
        <f>VLOOKUP(A44,총수신고!$M$6:$U$45,4,FALSE)</f>
        <v>7582.5077940000001</v>
      </c>
      <c r="H44" s="444">
        <f t="shared" si="2"/>
        <v>97.06231175115208</v>
      </c>
      <c r="I44" s="444">
        <f t="shared" si="3"/>
        <v>1.1853562947719543</v>
      </c>
      <c r="J44" s="475">
        <f t="shared" si="4"/>
        <v>17.326271386820043</v>
      </c>
      <c r="K44" s="472">
        <f t="shared" si="5"/>
        <v>18.511627681591996</v>
      </c>
      <c r="L44" s="446">
        <f>VLOOKUP(A44,체크카드!$A$5:$D$44,2,FALSE)</f>
        <v>36364</v>
      </c>
      <c r="M44" s="446">
        <f>VLOOKUP(A44,체크카드!$A$5:$D$44,3,FALSE)</f>
        <v>21143.591</v>
      </c>
      <c r="N44" s="444">
        <f t="shared" si="6"/>
        <v>58.144293807061928</v>
      </c>
      <c r="O44" s="527">
        <f t="shared" si="7"/>
        <v>1.1133873243484391</v>
      </c>
      <c r="P44" s="475">
        <f t="shared" si="8"/>
        <v>11.7192084511672</v>
      </c>
      <c r="Q44" s="472">
        <f t="shared" si="9"/>
        <v>12.832595775515639</v>
      </c>
      <c r="R44" s="446">
        <f>VLOOKUP(A44,스마트금융!$A$5:$D$45,2,FALSE)</f>
        <v>1064</v>
      </c>
      <c r="S44" s="446">
        <f>VLOOKUP(A44,스마트금융!$A$5:$D$45,3,FALSE)</f>
        <v>1025</v>
      </c>
      <c r="T44" s="444">
        <f t="shared" si="10"/>
        <v>96.334586466165419</v>
      </c>
      <c r="U44" s="444">
        <f t="shared" si="11"/>
        <v>0.60942981152268272</v>
      </c>
      <c r="V44" s="475">
        <f t="shared" si="12"/>
        <v>9.4653560466296636</v>
      </c>
      <c r="W44" s="478">
        <f t="shared" si="13"/>
        <v>10.074785858152346</v>
      </c>
      <c r="X44" s="505">
        <f t="shared" si="14"/>
        <v>50.642166227277592</v>
      </c>
      <c r="Y44" s="461">
        <f t="shared" si="15"/>
        <v>40</v>
      </c>
      <c r="Z44" s="443">
        <v>6000</v>
      </c>
      <c r="AA44" s="510">
        <v>3500</v>
      </c>
    </row>
    <row r="45" spans="1:27">
      <c r="A45" s="132" t="s">
        <v>84</v>
      </c>
      <c r="B45" s="443"/>
      <c r="C45" s="443"/>
      <c r="D45" s="444"/>
      <c r="E45" s="472">
        <f t="shared" si="1"/>
        <v>0</v>
      </c>
      <c r="F45" s="446"/>
      <c r="G45" s="446"/>
      <c r="H45" s="444"/>
      <c r="I45" s="444">
        <f t="shared" si="3"/>
        <v>0</v>
      </c>
      <c r="J45" s="475">
        <f t="shared" si="4"/>
        <v>0</v>
      </c>
      <c r="K45" s="472">
        <f t="shared" si="5"/>
        <v>0</v>
      </c>
      <c r="L45" s="446"/>
      <c r="M45" s="446"/>
      <c r="N45" s="444"/>
      <c r="O45" s="527">
        <f t="shared" si="7"/>
        <v>0</v>
      </c>
      <c r="P45" s="475">
        <f t="shared" si="8"/>
        <v>0</v>
      </c>
      <c r="Q45" s="472">
        <f t="shared" si="9"/>
        <v>0</v>
      </c>
      <c r="R45" s="446"/>
      <c r="S45" s="446"/>
      <c r="T45" s="444"/>
      <c r="U45" s="444">
        <f t="shared" si="11"/>
        <v>0</v>
      </c>
      <c r="V45" s="475">
        <f t="shared" si="12"/>
        <v>0</v>
      </c>
      <c r="W45" s="478">
        <f t="shared" si="13"/>
        <v>0</v>
      </c>
      <c r="X45" s="505">
        <f t="shared" si="14"/>
        <v>0</v>
      </c>
      <c r="Y45" s="461">
        <f t="shared" si="15"/>
        <v>41</v>
      </c>
      <c r="Z45" s="443">
        <v>11000</v>
      </c>
      <c r="AA45" s="511">
        <v>7000</v>
      </c>
    </row>
    <row r="46" spans="1:27" ht="17.25" thickBot="1">
      <c r="A46" s="133" t="s">
        <v>108</v>
      </c>
      <c r="B46" s="453">
        <f>SUM(B5:B45)</f>
        <v>8705900</v>
      </c>
      <c r="C46" s="453">
        <f t="shared" ref="C46:S46" si="16">SUM(C5:C45)</f>
        <v>9305653.3153460007</v>
      </c>
      <c r="D46" s="512">
        <f t="shared" si="0"/>
        <v>106.88904438766814</v>
      </c>
      <c r="E46" s="453"/>
      <c r="F46" s="453">
        <f t="shared" si="16"/>
        <v>1943900</v>
      </c>
      <c r="G46" s="453">
        <f t="shared" si="16"/>
        <v>1941254.1095500002</v>
      </c>
      <c r="H46" s="512">
        <f t="shared" si="2"/>
        <v>99.863887522506317</v>
      </c>
      <c r="I46" s="453"/>
      <c r="J46" s="453"/>
      <c r="K46" s="526"/>
      <c r="L46" s="453">
        <f t="shared" si="16"/>
        <v>7775000</v>
      </c>
      <c r="M46" s="453">
        <f t="shared" si="16"/>
        <v>4063122.7370000011</v>
      </c>
      <c r="N46" s="512">
        <f t="shared" si="6"/>
        <v>52.258813337620595</v>
      </c>
      <c r="O46" s="528"/>
      <c r="P46" s="528"/>
      <c r="Q46" s="526"/>
      <c r="R46" s="453">
        <f t="shared" si="16"/>
        <v>278450</v>
      </c>
      <c r="S46" s="453">
        <f t="shared" si="16"/>
        <v>273527</v>
      </c>
      <c r="T46" s="512">
        <f t="shared" si="10"/>
        <v>98.231998563476381</v>
      </c>
      <c r="U46" s="453"/>
      <c r="V46" s="453"/>
      <c r="W46" s="453"/>
      <c r="X46" s="453"/>
      <c r="Y46" s="455"/>
      <c r="Z46" s="453">
        <f>SUM(Z5:Z45)</f>
        <v>361000</v>
      </c>
      <c r="AA46" s="513">
        <f>SUM(AA5:AA45)</f>
        <v>217000</v>
      </c>
    </row>
    <row r="47" spans="1:27">
      <c r="L47" s="115"/>
      <c r="M47" s="115"/>
    </row>
    <row r="48" spans="1:27">
      <c r="L48" s="115"/>
      <c r="M48" s="115"/>
      <c r="Z48" s="418"/>
    </row>
  </sheetData>
  <mergeCells count="11">
    <mergeCell ref="A1:AA1"/>
    <mergeCell ref="B3:E3"/>
    <mergeCell ref="A3:A4"/>
    <mergeCell ref="L3:Q3"/>
    <mergeCell ref="R3:W3"/>
    <mergeCell ref="X3:X4"/>
    <mergeCell ref="Y3:Y4"/>
    <mergeCell ref="Z3:Z4"/>
    <mergeCell ref="AA3:AA4"/>
    <mergeCell ref="F3:K3"/>
    <mergeCell ref="Z2:AA2"/>
  </mergeCells>
  <phoneticPr fontId="2" type="noConversion"/>
  <pageMargins left="0.70866141732283472" right="0.70866141732283472" top="0.26" bottom="0.2" header="0.25" footer="0.17"/>
  <pageSetup paperSize="9" scale="68" orientation="landscape" verticalDpi="0" r:id="rId1"/>
  <colBreaks count="1" manualBreakCount="1">
    <brk id="2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>
  <dimension ref="A1:AS97"/>
  <sheetViews>
    <sheetView workbookViewId="0">
      <selection activeCell="M4" sqref="M4:M5"/>
    </sheetView>
  </sheetViews>
  <sheetFormatPr defaultRowHeight="16.5"/>
  <cols>
    <col min="1" max="1" width="9.75" style="1" bestFit="1" customWidth="1"/>
    <col min="2" max="2" width="0.875" style="1" customWidth="1"/>
    <col min="3" max="3" width="7.25" style="1" customWidth="1"/>
    <col min="4" max="4" width="9.375" style="1" customWidth="1"/>
    <col min="5" max="5" width="10" style="1" customWidth="1"/>
    <col min="6" max="6" width="10.25" style="1" customWidth="1"/>
    <col min="7" max="7" width="7.125" style="1" customWidth="1"/>
    <col min="8" max="8" width="9" style="1" hidden="1" customWidth="1"/>
    <col min="9" max="9" width="7.375" style="1" customWidth="1"/>
    <col min="10" max="10" width="7.75" style="1" customWidth="1"/>
    <col min="11" max="11" width="9.25" style="1" customWidth="1"/>
    <col min="12" max="12" width="1.5" style="1" customWidth="1"/>
    <col min="13" max="13" width="8.125" style="1" customWidth="1"/>
    <col min="14" max="14" width="10.125" style="1" customWidth="1"/>
    <col min="15" max="15" width="9.5" style="1" hidden="1" customWidth="1"/>
    <col min="16" max="16" width="9.5" style="1" customWidth="1"/>
    <col min="17" max="17" width="9" style="1" hidden="1" customWidth="1"/>
    <col min="18" max="18" width="7.25" style="1" hidden="1" customWidth="1"/>
    <col min="19" max="19" width="8.25" style="1" hidden="1" customWidth="1"/>
    <col min="20" max="20" width="7.5" style="1" customWidth="1"/>
    <col min="21" max="21" width="7.75" style="1" customWidth="1"/>
    <col min="22" max="24" width="9" style="1" hidden="1" customWidth="1"/>
    <col min="25" max="25" width="9.5" style="1" customWidth="1"/>
    <col min="26" max="26" width="9.25" style="1" customWidth="1"/>
    <col min="27" max="27" width="8.625" style="1" hidden="1" customWidth="1"/>
    <col min="28" max="28" width="9" style="1" hidden="1" customWidth="1"/>
    <col min="29" max="29" width="8.125" style="1" hidden="1" customWidth="1"/>
    <col min="30" max="30" width="13.875" style="1" hidden="1" customWidth="1"/>
    <col min="31" max="31" width="11.5" style="1" hidden="1" customWidth="1"/>
    <col min="32" max="32" width="11.875" style="1" hidden="1" customWidth="1"/>
    <col min="33" max="33" width="9" style="1" hidden="1" customWidth="1"/>
    <col min="34" max="34" width="14.25" style="1" hidden="1" customWidth="1"/>
    <col min="35" max="37" width="9" style="1" hidden="1" customWidth="1"/>
    <col min="38" max="38" width="10.875" style="1" hidden="1" customWidth="1"/>
    <col min="39" max="39" width="16.875" style="1" hidden="1" customWidth="1"/>
    <col min="40" max="40" width="15.25" style="1" hidden="1" customWidth="1"/>
    <col min="41" max="41" width="14" style="1" hidden="1" customWidth="1"/>
    <col min="42" max="42" width="9" style="1" hidden="1" customWidth="1"/>
    <col min="43" max="43" width="11.125" style="1" hidden="1" customWidth="1"/>
    <col min="44" max="44" width="14.5" style="1" hidden="1" customWidth="1"/>
    <col min="45" max="45" width="9" style="1" hidden="1" customWidth="1"/>
    <col min="46" max="51" width="9" style="1" customWidth="1"/>
    <col min="52" max="16384" width="9" style="1"/>
  </cols>
  <sheetData>
    <row r="1" spans="1:43" s="439" customFormat="1">
      <c r="C1" s="621" t="s">
        <v>109</v>
      </c>
      <c r="D1" s="621"/>
      <c r="E1" s="621"/>
      <c r="F1" s="621"/>
      <c r="G1" s="621"/>
      <c r="H1" s="621"/>
      <c r="I1" s="621"/>
      <c r="J1" s="621"/>
      <c r="K1" s="621"/>
      <c r="L1" s="621"/>
      <c r="M1" s="621"/>
      <c r="N1" s="621"/>
      <c r="O1" s="621"/>
      <c r="P1" s="621"/>
      <c r="Q1" s="621"/>
      <c r="R1" s="621"/>
      <c r="S1" s="621"/>
      <c r="T1" s="621"/>
      <c r="U1" s="621"/>
      <c r="V1" s="621"/>
      <c r="W1" s="621"/>
      <c r="X1" s="621"/>
      <c r="Y1" s="621"/>
      <c r="Z1" s="621"/>
    </row>
    <row r="2" spans="1:43" s="439" customFormat="1">
      <c r="C2" s="621"/>
      <c r="D2" s="621"/>
      <c r="E2" s="621"/>
      <c r="F2" s="621"/>
      <c r="G2" s="621"/>
      <c r="H2" s="621"/>
      <c r="I2" s="621"/>
      <c r="J2" s="621"/>
      <c r="K2" s="621"/>
      <c r="L2" s="621"/>
      <c r="M2" s="621"/>
      <c r="N2" s="621"/>
      <c r="O2" s="621"/>
      <c r="P2" s="621"/>
      <c r="Q2" s="621"/>
      <c r="R2" s="621"/>
      <c r="S2" s="621"/>
      <c r="T2" s="621"/>
      <c r="U2" s="621"/>
      <c r="V2" s="621"/>
      <c r="W2" s="621"/>
      <c r="X2" s="621"/>
      <c r="Y2" s="621"/>
      <c r="Z2" s="621"/>
    </row>
    <row r="3" spans="1:43" s="439" customFormat="1" ht="17.25" thickBot="1">
      <c r="A3" s="523">
        <f>[1]종합점수!A2</f>
        <v>42216</v>
      </c>
      <c r="C3" s="523"/>
      <c r="V3" s="560" t="s">
        <v>110</v>
      </c>
      <c r="W3" s="560"/>
      <c r="X3" s="560"/>
      <c r="Y3" s="561"/>
      <c r="Z3" s="561"/>
    </row>
    <row r="4" spans="1:43">
      <c r="A4" s="622" t="s">
        <v>70</v>
      </c>
      <c r="B4" s="134"/>
      <c r="C4" s="624" t="s">
        <v>111</v>
      </c>
      <c r="D4" s="626" t="s">
        <v>112</v>
      </c>
      <c r="E4" s="626"/>
      <c r="F4" s="626"/>
      <c r="G4" s="626"/>
      <c r="H4" s="626"/>
      <c r="I4" s="626"/>
      <c r="J4" s="626"/>
      <c r="K4" s="627"/>
      <c r="L4" s="628"/>
      <c r="M4" s="630" t="s">
        <v>113</v>
      </c>
      <c r="N4" s="632" t="s">
        <v>114</v>
      </c>
      <c r="O4" s="633"/>
      <c r="P4" s="633"/>
      <c r="Q4" s="633"/>
      <c r="R4" s="633"/>
      <c r="S4" s="633"/>
      <c r="T4" s="633"/>
      <c r="U4" s="633"/>
      <c r="V4" s="633"/>
      <c r="W4" s="633"/>
      <c r="X4" s="633"/>
      <c r="Y4" s="633"/>
      <c r="Z4" s="634"/>
      <c r="AC4" s="1" t="s">
        <v>115</v>
      </c>
    </row>
    <row r="5" spans="1:43" ht="17.25" thickBot="1">
      <c r="A5" s="623"/>
      <c r="B5" s="135"/>
      <c r="C5" s="625"/>
      <c r="D5" s="136" t="s">
        <v>13</v>
      </c>
      <c r="E5" s="136" t="s">
        <v>116</v>
      </c>
      <c r="F5" s="136" t="s">
        <v>117</v>
      </c>
      <c r="G5" s="136" t="s">
        <v>118</v>
      </c>
      <c r="H5" s="136" t="s">
        <v>119</v>
      </c>
      <c r="I5" s="136" t="s">
        <v>15</v>
      </c>
      <c r="J5" s="137" t="s">
        <v>120</v>
      </c>
      <c r="K5" s="138" t="s">
        <v>121</v>
      </c>
      <c r="L5" s="629"/>
      <c r="M5" s="631"/>
      <c r="N5" s="139" t="s">
        <v>13</v>
      </c>
      <c r="O5" s="139" t="s">
        <v>116</v>
      </c>
      <c r="P5" s="139" t="s">
        <v>122</v>
      </c>
      <c r="Q5" s="139" t="s">
        <v>123</v>
      </c>
      <c r="R5" s="139" t="s">
        <v>118</v>
      </c>
      <c r="S5" s="139" t="s">
        <v>124</v>
      </c>
      <c r="T5" s="139" t="s">
        <v>119</v>
      </c>
      <c r="U5" s="139" t="s">
        <v>15</v>
      </c>
      <c r="V5" s="139" t="s">
        <v>125</v>
      </c>
      <c r="W5" s="139" t="s">
        <v>126</v>
      </c>
      <c r="X5" s="140" t="s">
        <v>127</v>
      </c>
      <c r="Y5" s="141" t="s">
        <v>128</v>
      </c>
      <c r="Z5" s="142" t="s">
        <v>121</v>
      </c>
      <c r="AC5" s="1">
        <v>1</v>
      </c>
      <c r="AD5" s="1">
        <v>2</v>
      </c>
      <c r="AE5" s="1">
        <v>3</v>
      </c>
      <c r="AF5" s="1">
        <v>4</v>
      </c>
      <c r="AG5" s="1">
        <v>5</v>
      </c>
      <c r="AH5" s="1">
        <v>6</v>
      </c>
      <c r="AI5" s="1">
        <v>7</v>
      </c>
      <c r="AJ5" s="1">
        <v>8</v>
      </c>
      <c r="AK5" s="1">
        <v>9</v>
      </c>
      <c r="AL5" s="1">
        <v>10</v>
      </c>
      <c r="AM5" s="1">
        <v>11</v>
      </c>
    </row>
    <row r="6" spans="1:43">
      <c r="A6" s="618" t="s">
        <v>129</v>
      </c>
      <c r="B6" s="143">
        <v>1</v>
      </c>
      <c r="C6" s="144" t="s">
        <v>130</v>
      </c>
      <c r="D6" s="145">
        <v>354661</v>
      </c>
      <c r="E6" s="145">
        <v>363231.61752099998</v>
      </c>
      <c r="F6" s="146">
        <f t="shared" ref="F6:F45" si="0">VLOOKUP(C6,$AC$8:$AO$49,11,FALSE)/1000000</f>
        <v>378428.31660100003</v>
      </c>
      <c r="G6" s="147">
        <f t="shared" ref="G6:G46" si="1">F6/E6%</f>
        <v>104.18374897640111</v>
      </c>
      <c r="H6" s="148"/>
      <c r="I6" s="149">
        <f t="shared" ref="I6:I46" si="2">F6/D6%</f>
        <v>106.70141814324101</v>
      </c>
      <c r="J6" s="150">
        <f t="shared" ref="J6:J45" si="3">IF(I6&gt;=100,4,I6*0.04)</f>
        <v>4</v>
      </c>
      <c r="K6" s="151">
        <f t="shared" ref="K6:K45" si="4">IF(I6&gt;=100,10,I6*0.1)</f>
        <v>10</v>
      </c>
      <c r="L6" s="152">
        <v>1</v>
      </c>
      <c r="M6" s="153" t="s">
        <v>131</v>
      </c>
      <c r="N6" s="154">
        <v>119184</v>
      </c>
      <c r="O6" s="145">
        <v>124149.970734</v>
      </c>
      <c r="P6" s="155">
        <f>VLOOKUP(M6,$AC$33:$AQ$33,14,FALSE)/1000000</f>
        <v>127936.348378</v>
      </c>
      <c r="Q6" s="148"/>
      <c r="R6" s="147">
        <f t="shared" ref="R6:R46" si="5">P6/O6%</f>
        <v>103.04984175317493</v>
      </c>
      <c r="S6" s="148"/>
      <c r="T6" s="155">
        <f>(VLOOKUP(M6,$AC$33:$AQ$33,15,FALSE)-VLOOKUP(M6,$AC$80:$AQ$80,15,FALSE))/1000000</f>
        <v>992.46884799999998</v>
      </c>
      <c r="U6" s="156">
        <f t="shared" ref="U6:U46" si="6">P6/N6%</f>
        <v>107.34355985534971</v>
      </c>
      <c r="V6" s="157">
        <f t="shared" ref="V6:V45" si="7">IF(U6&gt;=100,30,U6*0.3)</f>
        <v>30</v>
      </c>
      <c r="W6" s="158" t="str">
        <f t="shared" ref="W6:W45" si="8">IF(U6&gt;100,"0","")</f>
        <v>0</v>
      </c>
      <c r="X6" s="158">
        <f>COUNTIF(W6:W13,"0")*0.01</f>
        <v>0.04</v>
      </c>
      <c r="Y6" s="159">
        <f>VLOOKUP(M6,$M$50:$T$89,8,FALSE)</f>
        <v>6.0297000000000001</v>
      </c>
      <c r="Z6" s="160">
        <f t="shared" ref="Z6:Z45" si="9">V6+X6</f>
        <v>30.04</v>
      </c>
      <c r="AC6" s="600"/>
      <c r="AD6" s="602" t="s">
        <v>132</v>
      </c>
      <c r="AE6" s="603"/>
      <c r="AF6" s="603"/>
      <c r="AG6" s="603"/>
      <c r="AH6" s="604"/>
      <c r="AI6" s="602" t="s">
        <v>133</v>
      </c>
      <c r="AJ6" s="603"/>
      <c r="AK6" s="603"/>
      <c r="AL6" s="603"/>
      <c r="AM6" s="604"/>
      <c r="AN6" s="1">
        <v>12</v>
      </c>
      <c r="AO6" s="1">
        <v>13</v>
      </c>
      <c r="AP6" s="1">
        <v>14</v>
      </c>
      <c r="AQ6" s="1">
        <v>15</v>
      </c>
    </row>
    <row r="7" spans="1:43" ht="22.5">
      <c r="A7" s="619"/>
      <c r="B7" s="161">
        <v>1</v>
      </c>
      <c r="C7" s="162" t="s">
        <v>134</v>
      </c>
      <c r="D7" s="163">
        <v>434890</v>
      </c>
      <c r="E7" s="163">
        <v>446263.32176000002</v>
      </c>
      <c r="F7" s="164">
        <f t="shared" si="0"/>
        <v>461871.71724099998</v>
      </c>
      <c r="G7" s="165">
        <f t="shared" si="1"/>
        <v>103.49757524760103</v>
      </c>
      <c r="H7" s="166"/>
      <c r="I7" s="167">
        <f t="shared" si="2"/>
        <v>106.20426251258939</v>
      </c>
      <c r="J7" s="168">
        <f t="shared" si="3"/>
        <v>4</v>
      </c>
      <c r="K7" s="169">
        <f t="shared" si="4"/>
        <v>10</v>
      </c>
      <c r="L7" s="152">
        <v>1</v>
      </c>
      <c r="M7" s="170" t="s">
        <v>134</v>
      </c>
      <c r="N7" s="171">
        <v>103016</v>
      </c>
      <c r="O7" s="163">
        <v>91128.541998000001</v>
      </c>
      <c r="P7" s="172">
        <f t="shared" ref="P7:P45" si="10">VLOOKUP(M7,$AC$8:$AO$49,12,FALSE)/1000000</f>
        <v>105215.500635</v>
      </c>
      <c r="Q7" s="166"/>
      <c r="R7" s="165">
        <f t="shared" si="5"/>
        <v>115.45833865893428</v>
      </c>
      <c r="S7" s="166"/>
      <c r="T7" s="172">
        <f t="shared" ref="T7:T46" si="11">(VLOOKUP(M7,$AC$8:$AO$49,13,FALSE)-VLOOKUP(M7,$AC$55:$AO$96,13,FALSE))/1000000</f>
        <v>74.842680000000001</v>
      </c>
      <c r="U7" s="173">
        <f t="shared" si="6"/>
        <v>102.1351058427817</v>
      </c>
      <c r="V7" s="174">
        <f t="shared" si="7"/>
        <v>30</v>
      </c>
      <c r="W7" s="166" t="str">
        <f t="shared" si="8"/>
        <v>0</v>
      </c>
      <c r="X7" s="166">
        <f t="shared" ref="X7:X13" si="12">IF(X6-0.01&lt;0,"0",X6-0.01)</f>
        <v>0.03</v>
      </c>
      <c r="Y7" s="175">
        <f t="shared" ref="Y7:Y45" si="13">VLOOKUP(M7,$M$50:$T$89,8,FALSE)</f>
        <v>6.0164999999999997</v>
      </c>
      <c r="Z7" s="176">
        <f t="shared" si="9"/>
        <v>30.03</v>
      </c>
      <c r="AC7" s="601"/>
      <c r="AD7" s="177" t="s">
        <v>135</v>
      </c>
      <c r="AE7" s="177" t="s">
        <v>136</v>
      </c>
      <c r="AF7" s="177" t="s">
        <v>137</v>
      </c>
      <c r="AG7" s="177" t="s">
        <v>138</v>
      </c>
      <c r="AH7" s="178" t="s">
        <v>139</v>
      </c>
      <c r="AI7" s="177" t="s">
        <v>135</v>
      </c>
      <c r="AJ7" s="177" t="s">
        <v>136</v>
      </c>
      <c r="AK7" s="177" t="s">
        <v>137</v>
      </c>
      <c r="AL7" s="177" t="s">
        <v>138</v>
      </c>
      <c r="AM7" s="179" t="s">
        <v>139</v>
      </c>
      <c r="AN7" s="177" t="s">
        <v>140</v>
      </c>
      <c r="AO7" s="177" t="s">
        <v>141</v>
      </c>
    </row>
    <row r="8" spans="1:43">
      <c r="A8" s="619"/>
      <c r="B8" s="161">
        <v>1</v>
      </c>
      <c r="C8" s="162" t="s">
        <v>142</v>
      </c>
      <c r="D8" s="163">
        <v>364169</v>
      </c>
      <c r="E8" s="163">
        <v>377371.73005200003</v>
      </c>
      <c r="F8" s="164">
        <f t="shared" si="0"/>
        <v>385837.57888500002</v>
      </c>
      <c r="G8" s="165">
        <f t="shared" si="1"/>
        <v>102.24337123287785</v>
      </c>
      <c r="H8" s="166"/>
      <c r="I8" s="167">
        <f t="shared" si="2"/>
        <v>105.9501437203606</v>
      </c>
      <c r="J8" s="168">
        <f t="shared" si="3"/>
        <v>4</v>
      </c>
      <c r="K8" s="169">
        <f t="shared" si="4"/>
        <v>10</v>
      </c>
      <c r="L8" s="152">
        <v>1</v>
      </c>
      <c r="M8" s="170" t="s">
        <v>130</v>
      </c>
      <c r="N8" s="171">
        <v>88844</v>
      </c>
      <c r="O8" s="163">
        <v>78965.082529000007</v>
      </c>
      <c r="P8" s="172">
        <f t="shared" si="10"/>
        <v>89468.126504999993</v>
      </c>
      <c r="Q8" s="166"/>
      <c r="R8" s="165">
        <f t="shared" si="5"/>
        <v>113.30087127071985</v>
      </c>
      <c r="S8" s="166"/>
      <c r="T8" s="172">
        <f t="shared" si="11"/>
        <v>163.41529800000001</v>
      </c>
      <c r="U8" s="173">
        <f t="shared" si="6"/>
        <v>100.70249707914995</v>
      </c>
      <c r="V8" s="174">
        <f t="shared" si="7"/>
        <v>30</v>
      </c>
      <c r="W8" s="166" t="str">
        <f t="shared" si="8"/>
        <v>0</v>
      </c>
      <c r="X8" s="166">
        <f t="shared" si="12"/>
        <v>1.9999999999999997E-2</v>
      </c>
      <c r="Y8" s="175">
        <f t="shared" si="13"/>
        <v>6.0099</v>
      </c>
      <c r="Z8" s="176">
        <f t="shared" si="9"/>
        <v>30.02</v>
      </c>
      <c r="AC8" s="180" t="s">
        <v>49</v>
      </c>
      <c r="AD8" s="181">
        <v>299033883976</v>
      </c>
      <c r="AE8" s="181">
        <v>92155733812</v>
      </c>
      <c r="AF8" s="181">
        <v>0</v>
      </c>
      <c r="AG8" s="181">
        <v>0</v>
      </c>
      <c r="AH8" s="182">
        <v>391189617788</v>
      </c>
      <c r="AI8" s="181">
        <v>300054245950</v>
      </c>
      <c r="AJ8" s="181">
        <v>85783332935</v>
      </c>
      <c r="AK8" s="181">
        <v>0</v>
      </c>
      <c r="AL8" s="181">
        <v>0</v>
      </c>
      <c r="AM8" s="183">
        <v>385837578885</v>
      </c>
      <c r="AN8" s="184">
        <f t="shared" ref="AN8:AN49" si="14">AJ8+AK8+AL8</f>
        <v>85783332935</v>
      </c>
      <c r="AO8" s="184">
        <f t="shared" ref="AO8:AO49" si="15">AE8+AF8+AG8</f>
        <v>92155733812</v>
      </c>
    </row>
    <row r="9" spans="1:43">
      <c r="A9" s="619"/>
      <c r="B9" s="161">
        <v>1</v>
      </c>
      <c r="C9" s="162" t="s">
        <v>143</v>
      </c>
      <c r="D9" s="163">
        <v>311482</v>
      </c>
      <c r="E9" s="163">
        <v>323667.759311</v>
      </c>
      <c r="F9" s="164">
        <f t="shared" si="0"/>
        <v>330344.58960399998</v>
      </c>
      <c r="G9" s="165">
        <f t="shared" si="1"/>
        <v>102.06286542323929</v>
      </c>
      <c r="H9" s="166"/>
      <c r="I9" s="167">
        <f t="shared" si="2"/>
        <v>106.05575590371193</v>
      </c>
      <c r="J9" s="168">
        <f t="shared" si="3"/>
        <v>4</v>
      </c>
      <c r="K9" s="169">
        <f t="shared" si="4"/>
        <v>10</v>
      </c>
      <c r="L9" s="152">
        <v>1</v>
      </c>
      <c r="M9" s="170" t="s">
        <v>142</v>
      </c>
      <c r="N9" s="171">
        <v>85242</v>
      </c>
      <c r="O9" s="163">
        <v>77223.769058999998</v>
      </c>
      <c r="P9" s="172">
        <f t="shared" si="10"/>
        <v>85783.332934999999</v>
      </c>
      <c r="Q9" s="166"/>
      <c r="R9" s="165">
        <f t="shared" si="5"/>
        <v>111.08410529594894</v>
      </c>
      <c r="S9" s="166"/>
      <c r="T9" s="172">
        <f t="shared" si="11"/>
        <v>1078.6925739999999</v>
      </c>
      <c r="U9" s="173">
        <f t="shared" si="6"/>
        <v>100.63505423969406</v>
      </c>
      <c r="V9" s="174">
        <f t="shared" si="7"/>
        <v>30</v>
      </c>
      <c r="W9" s="166" t="str">
        <f t="shared" si="8"/>
        <v>0</v>
      </c>
      <c r="X9" s="166">
        <f t="shared" si="12"/>
        <v>9.9999999999999967E-3</v>
      </c>
      <c r="Y9" s="175">
        <f t="shared" si="13"/>
        <v>6.0065999999999997</v>
      </c>
      <c r="Z9" s="176">
        <f t="shared" si="9"/>
        <v>30.01</v>
      </c>
      <c r="AC9" s="185" t="s">
        <v>28</v>
      </c>
      <c r="AD9" s="181">
        <v>263462954420</v>
      </c>
      <c r="AE9" s="181">
        <v>69071854289</v>
      </c>
      <c r="AF9" s="181">
        <v>0</v>
      </c>
      <c r="AG9" s="181">
        <v>0</v>
      </c>
      <c r="AH9" s="182">
        <v>332534808709</v>
      </c>
      <c r="AI9" s="181">
        <v>263762870837</v>
      </c>
      <c r="AJ9" s="181">
        <v>68177165402</v>
      </c>
      <c r="AK9" s="181">
        <v>0</v>
      </c>
      <c r="AL9" s="181">
        <v>0</v>
      </c>
      <c r="AM9" s="183">
        <v>331940036239</v>
      </c>
      <c r="AN9" s="184">
        <f t="shared" si="14"/>
        <v>68177165402</v>
      </c>
      <c r="AO9" s="184">
        <f t="shared" si="15"/>
        <v>69071854289</v>
      </c>
    </row>
    <row r="10" spans="1:43">
      <c r="A10" s="619"/>
      <c r="B10" s="161">
        <v>1</v>
      </c>
      <c r="C10" s="162" t="s">
        <v>131</v>
      </c>
      <c r="D10" s="163">
        <v>451356</v>
      </c>
      <c r="E10" s="163">
        <v>475112.234283</v>
      </c>
      <c r="F10" s="164">
        <f>VLOOKUP(C10,$AC$33:$AR$33,16,FALSE)/1000000</f>
        <v>473815.45544799999</v>
      </c>
      <c r="G10" s="165">
        <f t="shared" si="1"/>
        <v>99.727058420847229</v>
      </c>
      <c r="H10" s="166"/>
      <c r="I10" s="167">
        <f t="shared" si="2"/>
        <v>104.97599576564839</v>
      </c>
      <c r="J10" s="168">
        <f t="shared" si="3"/>
        <v>4</v>
      </c>
      <c r="K10" s="169">
        <f t="shared" si="4"/>
        <v>10</v>
      </c>
      <c r="L10" s="152">
        <v>1</v>
      </c>
      <c r="M10" s="170" t="s">
        <v>144</v>
      </c>
      <c r="N10" s="171">
        <v>82878</v>
      </c>
      <c r="O10" s="163">
        <v>74106.856163000004</v>
      </c>
      <c r="P10" s="172">
        <f t="shared" si="10"/>
        <v>82572.820999999996</v>
      </c>
      <c r="Q10" s="166"/>
      <c r="R10" s="165">
        <f t="shared" si="5"/>
        <v>111.42399674650733</v>
      </c>
      <c r="S10" s="166"/>
      <c r="T10" s="172">
        <f t="shared" si="11"/>
        <v>-118.26457600000001</v>
      </c>
      <c r="U10" s="173">
        <f t="shared" si="6"/>
        <v>99.631773208812959</v>
      </c>
      <c r="V10" s="174">
        <f t="shared" si="7"/>
        <v>29.889531962643886</v>
      </c>
      <c r="W10" s="166" t="str">
        <f t="shared" si="8"/>
        <v/>
      </c>
      <c r="X10" s="166" t="str">
        <f t="shared" si="12"/>
        <v>0</v>
      </c>
      <c r="Y10" s="175">
        <f t="shared" si="13"/>
        <v>5.9779063925287774</v>
      </c>
      <c r="Z10" s="176">
        <f t="shared" si="9"/>
        <v>29.889531962643886</v>
      </c>
      <c r="AC10" s="185" t="s">
        <v>32</v>
      </c>
      <c r="AD10" s="181">
        <v>268082329836</v>
      </c>
      <c r="AE10" s="181">
        <v>89179898747</v>
      </c>
      <c r="AF10" s="181">
        <v>46413610</v>
      </c>
      <c r="AG10" s="181">
        <v>0</v>
      </c>
      <c r="AH10" s="182">
        <v>357308642193</v>
      </c>
      <c r="AI10" s="181">
        <v>270222837701</v>
      </c>
      <c r="AJ10" s="181">
        <v>82539560504</v>
      </c>
      <c r="AK10" s="181">
        <v>33260496</v>
      </c>
      <c r="AL10" s="181">
        <v>0</v>
      </c>
      <c r="AM10" s="183">
        <v>352795658701</v>
      </c>
      <c r="AN10" s="184">
        <f t="shared" si="14"/>
        <v>82572821000</v>
      </c>
      <c r="AO10" s="184">
        <f t="shared" si="15"/>
        <v>89226312357</v>
      </c>
    </row>
    <row r="11" spans="1:43">
      <c r="A11" s="619"/>
      <c r="B11" s="161">
        <v>1</v>
      </c>
      <c r="C11" s="162" t="s">
        <v>144</v>
      </c>
      <c r="D11" s="163">
        <v>335902</v>
      </c>
      <c r="E11" s="163">
        <v>345360.03704700002</v>
      </c>
      <c r="F11" s="164">
        <f t="shared" si="0"/>
        <v>352795.65870099998</v>
      </c>
      <c r="G11" s="165">
        <f t="shared" si="1"/>
        <v>102.15300580738241</v>
      </c>
      <c r="H11" s="166"/>
      <c r="I11" s="167">
        <f t="shared" si="2"/>
        <v>105.02934150466504</v>
      </c>
      <c r="J11" s="168">
        <f t="shared" si="3"/>
        <v>4</v>
      </c>
      <c r="K11" s="169">
        <f t="shared" si="4"/>
        <v>10</v>
      </c>
      <c r="L11" s="152">
        <v>1</v>
      </c>
      <c r="M11" s="170" t="s">
        <v>143</v>
      </c>
      <c r="N11" s="171">
        <v>88189</v>
      </c>
      <c r="O11" s="163">
        <v>78241.006802999997</v>
      </c>
      <c r="P11" s="172">
        <f t="shared" si="10"/>
        <v>87545.718449000007</v>
      </c>
      <c r="Q11" s="166"/>
      <c r="R11" s="165">
        <f t="shared" si="5"/>
        <v>111.89237207725098</v>
      </c>
      <c r="S11" s="166"/>
      <c r="T11" s="172">
        <f t="shared" si="11"/>
        <v>481.50332600000002</v>
      </c>
      <c r="U11" s="173">
        <f t="shared" si="6"/>
        <v>99.270564865232629</v>
      </c>
      <c r="V11" s="174">
        <f t="shared" si="7"/>
        <v>29.781169459569789</v>
      </c>
      <c r="W11" s="166" t="str">
        <f t="shared" si="8"/>
        <v/>
      </c>
      <c r="X11" s="166" t="str">
        <f t="shared" si="12"/>
        <v>0</v>
      </c>
      <c r="Y11" s="175">
        <f t="shared" si="13"/>
        <v>5.9562338919139579</v>
      </c>
      <c r="Z11" s="176">
        <f t="shared" si="9"/>
        <v>29.781169459569789</v>
      </c>
      <c r="AC11" s="185" t="s">
        <v>64</v>
      </c>
      <c r="AD11" s="181">
        <v>88664566423</v>
      </c>
      <c r="AE11" s="181">
        <v>23205705954</v>
      </c>
      <c r="AF11" s="181">
        <v>0</v>
      </c>
      <c r="AG11" s="181">
        <v>0</v>
      </c>
      <c r="AH11" s="182">
        <v>111870272377</v>
      </c>
      <c r="AI11" s="181">
        <v>88456881312</v>
      </c>
      <c r="AJ11" s="181">
        <v>21252886485</v>
      </c>
      <c r="AK11" s="181">
        <v>0</v>
      </c>
      <c r="AL11" s="181">
        <v>0</v>
      </c>
      <c r="AM11" s="183">
        <v>109709767797</v>
      </c>
      <c r="AN11" s="184">
        <f t="shared" si="14"/>
        <v>21252886485</v>
      </c>
      <c r="AO11" s="184">
        <f t="shared" si="15"/>
        <v>23205705954</v>
      </c>
    </row>
    <row r="12" spans="1:43">
      <c r="A12" s="619"/>
      <c r="B12" s="161">
        <v>1</v>
      </c>
      <c r="C12" s="162" t="s">
        <v>145</v>
      </c>
      <c r="D12" s="163">
        <v>317089</v>
      </c>
      <c r="E12" s="163">
        <v>324474.68664899998</v>
      </c>
      <c r="F12" s="164">
        <f t="shared" si="0"/>
        <v>331940.03623899998</v>
      </c>
      <c r="G12" s="165">
        <f t="shared" si="1"/>
        <v>102.30074945663655</v>
      </c>
      <c r="H12" s="166"/>
      <c r="I12" s="167">
        <f t="shared" si="2"/>
        <v>104.68355453484668</v>
      </c>
      <c r="J12" s="168">
        <f t="shared" si="3"/>
        <v>4</v>
      </c>
      <c r="K12" s="169">
        <f t="shared" si="4"/>
        <v>10</v>
      </c>
      <c r="L12" s="152">
        <v>1</v>
      </c>
      <c r="M12" s="170" t="s">
        <v>146</v>
      </c>
      <c r="N12" s="171">
        <v>81033</v>
      </c>
      <c r="O12" s="163">
        <v>79414.290164000005</v>
      </c>
      <c r="P12" s="172">
        <f t="shared" si="10"/>
        <v>78125.132750999997</v>
      </c>
      <c r="Q12" s="166"/>
      <c r="R12" s="165">
        <f t="shared" si="5"/>
        <v>98.376668216340221</v>
      </c>
      <c r="S12" s="166"/>
      <c r="T12" s="172">
        <f t="shared" si="11"/>
        <v>265.270623</v>
      </c>
      <c r="U12" s="173">
        <f t="shared" si="6"/>
        <v>96.4115024138314</v>
      </c>
      <c r="V12" s="174">
        <f t="shared" si="7"/>
        <v>28.923450724149419</v>
      </c>
      <c r="W12" s="166" t="str">
        <f t="shared" si="8"/>
        <v/>
      </c>
      <c r="X12" s="166" t="str">
        <f t="shared" si="12"/>
        <v>0</v>
      </c>
      <c r="Y12" s="175">
        <f t="shared" si="13"/>
        <v>5.7846901448298835</v>
      </c>
      <c r="Z12" s="176">
        <f t="shared" si="9"/>
        <v>28.923450724149419</v>
      </c>
      <c r="AC12" s="185" t="s">
        <v>61</v>
      </c>
      <c r="AD12" s="181">
        <v>86036152642</v>
      </c>
      <c r="AE12" s="181">
        <v>35820626055</v>
      </c>
      <c r="AF12" s="181">
        <v>0</v>
      </c>
      <c r="AG12" s="181">
        <v>0</v>
      </c>
      <c r="AH12" s="182">
        <v>121856778697</v>
      </c>
      <c r="AI12" s="181">
        <v>84784296037</v>
      </c>
      <c r="AJ12" s="181">
        <v>35527276075</v>
      </c>
      <c r="AK12" s="181">
        <v>0</v>
      </c>
      <c r="AL12" s="181">
        <v>0</v>
      </c>
      <c r="AM12" s="183">
        <v>120311572112</v>
      </c>
      <c r="AN12" s="184">
        <f t="shared" si="14"/>
        <v>35527276075</v>
      </c>
      <c r="AO12" s="184">
        <f t="shared" si="15"/>
        <v>35820626055</v>
      </c>
    </row>
    <row r="13" spans="1:43" ht="17.25" thickBot="1">
      <c r="A13" s="620"/>
      <c r="B13" s="186">
        <v>1</v>
      </c>
      <c r="C13" s="187" t="s">
        <v>146</v>
      </c>
      <c r="D13" s="188">
        <v>440866</v>
      </c>
      <c r="E13" s="188">
        <v>460340.06964100001</v>
      </c>
      <c r="F13" s="189">
        <f t="shared" si="0"/>
        <v>452393.21272200003</v>
      </c>
      <c r="G13" s="190">
        <f t="shared" si="1"/>
        <v>98.273698632144402</v>
      </c>
      <c r="H13" s="191"/>
      <c r="I13" s="192">
        <f t="shared" si="2"/>
        <v>102.61467491754865</v>
      </c>
      <c r="J13" s="193">
        <f t="shared" si="3"/>
        <v>4</v>
      </c>
      <c r="K13" s="194">
        <f t="shared" si="4"/>
        <v>10</v>
      </c>
      <c r="L13" s="152">
        <v>1</v>
      </c>
      <c r="M13" s="195" t="s">
        <v>145</v>
      </c>
      <c r="N13" s="196">
        <v>73235</v>
      </c>
      <c r="O13" s="197">
        <v>65395.215643000003</v>
      </c>
      <c r="P13" s="198">
        <f t="shared" si="10"/>
        <v>68177.165401999999</v>
      </c>
      <c r="Q13" s="191"/>
      <c r="R13" s="190">
        <f t="shared" si="5"/>
        <v>104.25405701571042</v>
      </c>
      <c r="S13" s="191"/>
      <c r="T13" s="199">
        <f t="shared" si="11"/>
        <v>120.016243</v>
      </c>
      <c r="U13" s="200">
        <f t="shared" si="6"/>
        <v>93.09369208984775</v>
      </c>
      <c r="V13" s="201">
        <f t="shared" si="7"/>
        <v>27.928107626954326</v>
      </c>
      <c r="W13" s="191" t="str">
        <f t="shared" si="8"/>
        <v/>
      </c>
      <c r="X13" s="191" t="str">
        <f t="shared" si="12"/>
        <v>0</v>
      </c>
      <c r="Y13" s="202">
        <f t="shared" si="13"/>
        <v>5.5856215253908648</v>
      </c>
      <c r="Z13" s="203">
        <f t="shared" si="9"/>
        <v>27.928107626954326</v>
      </c>
      <c r="AC13" s="185" t="s">
        <v>57</v>
      </c>
      <c r="AD13" s="181">
        <v>45798438250</v>
      </c>
      <c r="AE13" s="181">
        <v>20593436368</v>
      </c>
      <c r="AF13" s="181">
        <v>0</v>
      </c>
      <c r="AG13" s="181">
        <v>0</v>
      </c>
      <c r="AH13" s="182">
        <v>66391874618</v>
      </c>
      <c r="AI13" s="181">
        <v>45575736274</v>
      </c>
      <c r="AJ13" s="181">
        <v>20216477986</v>
      </c>
      <c r="AK13" s="181">
        <v>0</v>
      </c>
      <c r="AL13" s="181">
        <v>0</v>
      </c>
      <c r="AM13" s="183">
        <v>65792214260</v>
      </c>
      <c r="AN13" s="184">
        <f t="shared" si="14"/>
        <v>20216477986</v>
      </c>
      <c r="AO13" s="184">
        <f t="shared" si="15"/>
        <v>20593436368</v>
      </c>
    </row>
    <row r="14" spans="1:43">
      <c r="A14" s="605" t="s">
        <v>147</v>
      </c>
      <c r="B14" s="204">
        <v>2</v>
      </c>
      <c r="C14" s="205" t="s">
        <v>148</v>
      </c>
      <c r="D14" s="145">
        <v>676977</v>
      </c>
      <c r="E14" s="145">
        <v>660243.03428799997</v>
      </c>
      <c r="F14" s="146">
        <f t="shared" si="0"/>
        <v>804658.43486699997</v>
      </c>
      <c r="G14" s="147">
        <f t="shared" si="1"/>
        <v>121.87306689796982</v>
      </c>
      <c r="H14" s="148"/>
      <c r="I14" s="149">
        <f t="shared" si="2"/>
        <v>118.86052773831311</v>
      </c>
      <c r="J14" s="150">
        <f t="shared" si="3"/>
        <v>4</v>
      </c>
      <c r="K14" s="151">
        <f t="shared" si="4"/>
        <v>10</v>
      </c>
      <c r="L14" s="152">
        <v>2</v>
      </c>
      <c r="M14" s="206" t="s">
        <v>148</v>
      </c>
      <c r="N14" s="154">
        <v>70406</v>
      </c>
      <c r="O14" s="145">
        <v>72016.071668999997</v>
      </c>
      <c r="P14" s="155">
        <f t="shared" si="10"/>
        <v>78883.320808999997</v>
      </c>
      <c r="Q14" s="148"/>
      <c r="R14" s="147">
        <f t="shared" si="5"/>
        <v>109.53571748756754</v>
      </c>
      <c r="S14" s="148"/>
      <c r="T14" s="207">
        <f t="shared" si="11"/>
        <v>907.15915099999995</v>
      </c>
      <c r="U14" s="156">
        <f t="shared" si="6"/>
        <v>112.04062268698691</v>
      </c>
      <c r="V14" s="208">
        <f t="shared" si="7"/>
        <v>30</v>
      </c>
      <c r="W14" s="148" t="str">
        <f t="shared" si="8"/>
        <v>0</v>
      </c>
      <c r="X14" s="148">
        <f>COUNTIF(W14:W23,"0")*0.01</f>
        <v>0.04</v>
      </c>
      <c r="Y14" s="159">
        <f t="shared" si="13"/>
        <v>6.0396000000000001</v>
      </c>
      <c r="Z14" s="209">
        <f t="shared" si="9"/>
        <v>30.04</v>
      </c>
      <c r="AC14" s="185" t="s">
        <v>52</v>
      </c>
      <c r="AD14" s="181">
        <v>141863411593</v>
      </c>
      <c r="AE14" s="181">
        <v>45885950663</v>
      </c>
      <c r="AF14" s="181">
        <v>33529069</v>
      </c>
      <c r="AG14" s="181">
        <v>0</v>
      </c>
      <c r="AH14" s="182">
        <v>187782891325</v>
      </c>
      <c r="AI14" s="181">
        <v>137586648290</v>
      </c>
      <c r="AJ14" s="181">
        <v>43852760384</v>
      </c>
      <c r="AK14" s="181">
        <v>35013846</v>
      </c>
      <c r="AL14" s="181">
        <v>0</v>
      </c>
      <c r="AM14" s="183">
        <v>181474422520</v>
      </c>
      <c r="AN14" s="184">
        <f t="shared" si="14"/>
        <v>43887774230</v>
      </c>
      <c r="AO14" s="184">
        <f t="shared" si="15"/>
        <v>45919479732</v>
      </c>
    </row>
    <row r="15" spans="1:43">
      <c r="A15" s="606"/>
      <c r="B15" s="210">
        <v>2</v>
      </c>
      <c r="C15" s="211" t="s">
        <v>149</v>
      </c>
      <c r="D15" s="163">
        <v>195824</v>
      </c>
      <c r="E15" s="163">
        <v>201238.676939</v>
      </c>
      <c r="F15" s="164">
        <f t="shared" si="0"/>
        <v>218197.14419399999</v>
      </c>
      <c r="G15" s="165">
        <f t="shared" si="1"/>
        <v>108.42704171631009</v>
      </c>
      <c r="H15" s="166"/>
      <c r="I15" s="167">
        <f t="shared" si="2"/>
        <v>111.42512878605278</v>
      </c>
      <c r="J15" s="168">
        <f t="shared" si="3"/>
        <v>4</v>
      </c>
      <c r="K15" s="169">
        <f t="shared" si="4"/>
        <v>10</v>
      </c>
      <c r="L15" s="152">
        <v>2</v>
      </c>
      <c r="M15" s="212" t="s">
        <v>43</v>
      </c>
      <c r="N15" s="171">
        <v>50574</v>
      </c>
      <c r="O15" s="163">
        <v>46305.954360999996</v>
      </c>
      <c r="P15" s="172">
        <f t="shared" si="10"/>
        <v>54749.740362999997</v>
      </c>
      <c r="Q15" s="166"/>
      <c r="R15" s="165">
        <f t="shared" si="5"/>
        <v>118.23477373162956</v>
      </c>
      <c r="S15" s="166"/>
      <c r="T15" s="172">
        <f t="shared" si="11"/>
        <v>-377.96579300000002</v>
      </c>
      <c r="U15" s="173">
        <f t="shared" si="6"/>
        <v>108.25669388025467</v>
      </c>
      <c r="V15" s="174">
        <f t="shared" si="7"/>
        <v>30</v>
      </c>
      <c r="W15" s="166" t="str">
        <f t="shared" si="8"/>
        <v>0</v>
      </c>
      <c r="X15" s="166">
        <f t="shared" ref="X15:X23" si="16">IF(X14-0.01&lt;0,"0",X14-0.01)</f>
        <v>0.03</v>
      </c>
      <c r="Y15" s="175">
        <f t="shared" si="13"/>
        <v>6.0330000000000004</v>
      </c>
      <c r="Z15" s="176">
        <f t="shared" si="9"/>
        <v>30.03</v>
      </c>
      <c r="AC15" s="185" t="s">
        <v>55</v>
      </c>
      <c r="AD15" s="181">
        <v>80358448332</v>
      </c>
      <c r="AE15" s="181">
        <v>23408478774</v>
      </c>
      <c r="AF15" s="181">
        <v>0</v>
      </c>
      <c r="AG15" s="181">
        <v>0</v>
      </c>
      <c r="AH15" s="182">
        <v>103766927106</v>
      </c>
      <c r="AI15" s="181">
        <v>80544344787</v>
      </c>
      <c r="AJ15" s="181">
        <v>23268551044</v>
      </c>
      <c r="AK15" s="181">
        <v>0</v>
      </c>
      <c r="AL15" s="181">
        <v>0</v>
      </c>
      <c r="AM15" s="183">
        <v>103812895831</v>
      </c>
      <c r="AN15" s="184">
        <f t="shared" si="14"/>
        <v>23268551044</v>
      </c>
      <c r="AO15" s="184">
        <f t="shared" si="15"/>
        <v>23408478774</v>
      </c>
    </row>
    <row r="16" spans="1:43">
      <c r="A16" s="606"/>
      <c r="B16" s="210">
        <v>2</v>
      </c>
      <c r="C16" s="211" t="s">
        <v>150</v>
      </c>
      <c r="D16" s="163">
        <v>281761</v>
      </c>
      <c r="E16" s="163">
        <v>290849.65911299997</v>
      </c>
      <c r="F16" s="164">
        <f t="shared" si="0"/>
        <v>303655.90121400001</v>
      </c>
      <c r="G16" s="165">
        <f t="shared" si="1"/>
        <v>104.40304525026953</v>
      </c>
      <c r="H16" s="166"/>
      <c r="I16" s="167">
        <f t="shared" si="2"/>
        <v>107.77073520252981</v>
      </c>
      <c r="J16" s="168">
        <f t="shared" si="3"/>
        <v>4</v>
      </c>
      <c r="K16" s="169">
        <f t="shared" si="4"/>
        <v>10</v>
      </c>
      <c r="L16" s="152">
        <v>2</v>
      </c>
      <c r="M16" s="212" t="s">
        <v>151</v>
      </c>
      <c r="N16" s="171">
        <v>68028</v>
      </c>
      <c r="O16" s="163">
        <v>64637.749708000003</v>
      </c>
      <c r="P16" s="172">
        <f t="shared" si="10"/>
        <v>71589.543223000001</v>
      </c>
      <c r="Q16" s="166"/>
      <c r="R16" s="165">
        <f t="shared" si="5"/>
        <v>110.75500546724571</v>
      </c>
      <c r="S16" s="166"/>
      <c r="T16" s="172">
        <f t="shared" si="11"/>
        <v>155.40133299999999</v>
      </c>
      <c r="U16" s="173">
        <f t="shared" si="6"/>
        <v>105.23540780707944</v>
      </c>
      <c r="V16" s="174">
        <f t="shared" si="7"/>
        <v>30</v>
      </c>
      <c r="W16" s="166" t="str">
        <f t="shared" si="8"/>
        <v>0</v>
      </c>
      <c r="X16" s="166">
        <f t="shared" si="16"/>
        <v>1.9999999999999997E-2</v>
      </c>
      <c r="Y16" s="175">
        <f t="shared" si="13"/>
        <v>6.0263999999999998</v>
      </c>
      <c r="Z16" s="176">
        <f t="shared" si="9"/>
        <v>30.02</v>
      </c>
      <c r="AC16" s="185" t="s">
        <v>56</v>
      </c>
      <c r="AD16" s="181">
        <v>97976092096</v>
      </c>
      <c r="AE16" s="181">
        <v>29461239771</v>
      </c>
      <c r="AF16" s="181">
        <v>0</v>
      </c>
      <c r="AG16" s="181">
        <v>0</v>
      </c>
      <c r="AH16" s="182">
        <v>127437331867</v>
      </c>
      <c r="AI16" s="181">
        <v>100073170744</v>
      </c>
      <c r="AJ16" s="181">
        <v>26469439880</v>
      </c>
      <c r="AK16" s="181">
        <v>0</v>
      </c>
      <c r="AL16" s="181">
        <v>0</v>
      </c>
      <c r="AM16" s="183">
        <v>126542610624</v>
      </c>
      <c r="AN16" s="184">
        <f t="shared" si="14"/>
        <v>26469439880</v>
      </c>
      <c r="AO16" s="184">
        <f t="shared" si="15"/>
        <v>29461239771</v>
      </c>
    </row>
    <row r="17" spans="1:44">
      <c r="A17" s="606"/>
      <c r="B17" s="210">
        <v>2</v>
      </c>
      <c r="C17" s="213" t="s">
        <v>43</v>
      </c>
      <c r="D17" s="163">
        <v>294194</v>
      </c>
      <c r="E17" s="163">
        <v>301156.88929800002</v>
      </c>
      <c r="F17" s="164">
        <f t="shared" si="0"/>
        <v>318628.69283399999</v>
      </c>
      <c r="G17" s="165">
        <f t="shared" si="1"/>
        <v>105.80156196218088</v>
      </c>
      <c r="H17" s="166"/>
      <c r="I17" s="167">
        <f t="shared" si="2"/>
        <v>108.30563941956667</v>
      </c>
      <c r="J17" s="168">
        <f t="shared" si="3"/>
        <v>4</v>
      </c>
      <c r="K17" s="169">
        <f t="shared" si="4"/>
        <v>10</v>
      </c>
      <c r="L17" s="152">
        <v>2</v>
      </c>
      <c r="M17" s="214" t="s">
        <v>150</v>
      </c>
      <c r="N17" s="171">
        <v>56604</v>
      </c>
      <c r="O17" s="163">
        <v>49492.477228999996</v>
      </c>
      <c r="P17" s="172">
        <f t="shared" si="10"/>
        <v>57791.652378999999</v>
      </c>
      <c r="Q17" s="166"/>
      <c r="R17" s="165">
        <f t="shared" si="5"/>
        <v>116.7685588086448</v>
      </c>
      <c r="S17" s="166"/>
      <c r="T17" s="172">
        <f t="shared" si="11"/>
        <v>-2283.7415719999999</v>
      </c>
      <c r="U17" s="173">
        <f t="shared" si="6"/>
        <v>102.09817747685676</v>
      </c>
      <c r="V17" s="174">
        <f t="shared" si="7"/>
        <v>30</v>
      </c>
      <c r="W17" s="166" t="str">
        <f t="shared" si="8"/>
        <v>0</v>
      </c>
      <c r="X17" s="166">
        <f t="shared" si="16"/>
        <v>9.9999999999999967E-3</v>
      </c>
      <c r="Y17" s="175">
        <f t="shared" si="13"/>
        <v>6.0132000000000003</v>
      </c>
      <c r="Z17" s="176">
        <f t="shared" si="9"/>
        <v>30.01</v>
      </c>
      <c r="AC17" s="185" t="s">
        <v>58</v>
      </c>
      <c r="AD17" s="181">
        <v>91278152143</v>
      </c>
      <c r="AE17" s="181">
        <v>32801333150</v>
      </c>
      <c r="AF17" s="181">
        <v>161037495</v>
      </c>
      <c r="AG17" s="181">
        <v>0</v>
      </c>
      <c r="AH17" s="182">
        <v>124240522788</v>
      </c>
      <c r="AI17" s="181">
        <v>90225115389</v>
      </c>
      <c r="AJ17" s="181">
        <v>31168283662</v>
      </c>
      <c r="AK17" s="181">
        <v>124155371</v>
      </c>
      <c r="AL17" s="181">
        <v>0</v>
      </c>
      <c r="AM17" s="183">
        <v>121517554422</v>
      </c>
      <c r="AN17" s="184">
        <f t="shared" si="14"/>
        <v>31292439033</v>
      </c>
      <c r="AO17" s="184">
        <f t="shared" si="15"/>
        <v>32962370645</v>
      </c>
    </row>
    <row r="18" spans="1:44">
      <c r="A18" s="606"/>
      <c r="B18" s="210">
        <v>2</v>
      </c>
      <c r="C18" s="213" t="s">
        <v>152</v>
      </c>
      <c r="D18" s="163">
        <v>245473</v>
      </c>
      <c r="E18" s="163">
        <v>250687.65062999999</v>
      </c>
      <c r="F18" s="164">
        <f t="shared" si="0"/>
        <v>261445.68440599999</v>
      </c>
      <c r="G18" s="165">
        <f t="shared" si="1"/>
        <v>104.29140954848158</v>
      </c>
      <c r="H18" s="166"/>
      <c r="I18" s="167">
        <f t="shared" si="2"/>
        <v>106.50690072064951</v>
      </c>
      <c r="J18" s="168">
        <f t="shared" si="3"/>
        <v>4</v>
      </c>
      <c r="K18" s="169">
        <f t="shared" si="4"/>
        <v>10</v>
      </c>
      <c r="L18" s="152">
        <v>2</v>
      </c>
      <c r="M18" s="212" t="s">
        <v>153</v>
      </c>
      <c r="N18" s="171">
        <v>62839</v>
      </c>
      <c r="O18" s="163">
        <v>56962.748211999999</v>
      </c>
      <c r="P18" s="172">
        <f t="shared" si="10"/>
        <v>61894.689847000001</v>
      </c>
      <c r="Q18" s="166"/>
      <c r="R18" s="165">
        <f t="shared" si="5"/>
        <v>108.65818765738733</v>
      </c>
      <c r="S18" s="166"/>
      <c r="T18" s="172">
        <f t="shared" si="11"/>
        <v>56.279373</v>
      </c>
      <c r="U18" s="173">
        <f t="shared" si="6"/>
        <v>98.497254646000101</v>
      </c>
      <c r="V18" s="174">
        <f t="shared" si="7"/>
        <v>29.549176393800028</v>
      </c>
      <c r="W18" s="166" t="str">
        <f t="shared" si="8"/>
        <v/>
      </c>
      <c r="X18" s="166" t="str">
        <f t="shared" si="16"/>
        <v>0</v>
      </c>
      <c r="Y18" s="175">
        <f t="shared" si="13"/>
        <v>5.9098352787600055</v>
      </c>
      <c r="Z18" s="176">
        <f t="shared" si="9"/>
        <v>29.549176393800028</v>
      </c>
      <c r="AC18" s="185" t="s">
        <v>60</v>
      </c>
      <c r="AD18" s="181">
        <v>74620306484</v>
      </c>
      <c r="AE18" s="181">
        <v>22714751104</v>
      </c>
      <c r="AF18" s="181">
        <v>0</v>
      </c>
      <c r="AG18" s="181">
        <v>0</v>
      </c>
      <c r="AH18" s="182">
        <v>97335057588</v>
      </c>
      <c r="AI18" s="181">
        <v>75129309073</v>
      </c>
      <c r="AJ18" s="181">
        <v>21572060155</v>
      </c>
      <c r="AK18" s="181">
        <v>0</v>
      </c>
      <c r="AL18" s="181">
        <v>0</v>
      </c>
      <c r="AM18" s="183">
        <v>96701369228</v>
      </c>
      <c r="AN18" s="184">
        <f t="shared" si="14"/>
        <v>21572060155</v>
      </c>
      <c r="AO18" s="184">
        <f t="shared" si="15"/>
        <v>22714751104</v>
      </c>
    </row>
    <row r="19" spans="1:44">
      <c r="A19" s="606"/>
      <c r="B19" s="210">
        <v>2</v>
      </c>
      <c r="C19" s="213" t="s">
        <v>154</v>
      </c>
      <c r="D19" s="163">
        <v>147268</v>
      </c>
      <c r="E19" s="163">
        <v>151992.588969</v>
      </c>
      <c r="F19" s="164">
        <f t="shared" si="0"/>
        <v>154069.27998299999</v>
      </c>
      <c r="G19" s="165">
        <f t="shared" si="1"/>
        <v>101.36631070507229</v>
      </c>
      <c r="H19" s="166"/>
      <c r="I19" s="167">
        <f t="shared" si="2"/>
        <v>104.61830131664719</v>
      </c>
      <c r="J19" s="168">
        <f t="shared" si="3"/>
        <v>4</v>
      </c>
      <c r="K19" s="169">
        <f t="shared" si="4"/>
        <v>10</v>
      </c>
      <c r="L19" s="152">
        <v>2</v>
      </c>
      <c r="M19" s="212" t="s">
        <v>155</v>
      </c>
      <c r="N19" s="171">
        <v>39956</v>
      </c>
      <c r="O19" s="163">
        <v>37768.931217999998</v>
      </c>
      <c r="P19" s="172">
        <f t="shared" si="10"/>
        <v>39064.390805000003</v>
      </c>
      <c r="Q19" s="166"/>
      <c r="R19" s="165">
        <f t="shared" si="5"/>
        <v>103.42996093673577</v>
      </c>
      <c r="S19" s="166"/>
      <c r="T19" s="172">
        <f t="shared" si="11"/>
        <v>334.97780299999999</v>
      </c>
      <c r="U19" s="173">
        <f t="shared" si="6"/>
        <v>97.768522387125842</v>
      </c>
      <c r="V19" s="174">
        <f t="shared" si="7"/>
        <v>29.33055671613775</v>
      </c>
      <c r="W19" s="166" t="str">
        <f t="shared" si="8"/>
        <v/>
      </c>
      <c r="X19" s="166" t="str">
        <f t="shared" si="16"/>
        <v>0</v>
      </c>
      <c r="Y19" s="175">
        <f t="shared" si="13"/>
        <v>5.8661113432275505</v>
      </c>
      <c r="Z19" s="176">
        <f t="shared" si="9"/>
        <v>29.33055671613775</v>
      </c>
      <c r="AC19" s="185" t="s">
        <v>53</v>
      </c>
      <c r="AD19" s="181">
        <v>117115538224</v>
      </c>
      <c r="AE19" s="181">
        <v>38941227897</v>
      </c>
      <c r="AF19" s="181">
        <v>26978756</v>
      </c>
      <c r="AG19" s="181">
        <v>0</v>
      </c>
      <c r="AH19" s="182">
        <v>156083744877</v>
      </c>
      <c r="AI19" s="181">
        <v>136036831761</v>
      </c>
      <c r="AJ19" s="181">
        <v>37149239653</v>
      </c>
      <c r="AK19" s="181">
        <v>25732086</v>
      </c>
      <c r="AL19" s="181">
        <v>0</v>
      </c>
      <c r="AM19" s="183">
        <v>173211803500</v>
      </c>
      <c r="AN19" s="184">
        <f t="shared" si="14"/>
        <v>37174971739</v>
      </c>
      <c r="AO19" s="184">
        <f t="shared" si="15"/>
        <v>38968206653</v>
      </c>
    </row>
    <row r="20" spans="1:44">
      <c r="A20" s="606"/>
      <c r="B20" s="210">
        <v>2</v>
      </c>
      <c r="C20" s="213" t="s">
        <v>153</v>
      </c>
      <c r="D20" s="163">
        <v>265241</v>
      </c>
      <c r="E20" s="163">
        <v>275323.45795399998</v>
      </c>
      <c r="F20" s="164">
        <f t="shared" si="0"/>
        <v>278237.21139000001</v>
      </c>
      <c r="G20" s="165">
        <f t="shared" si="1"/>
        <v>101.05830191791608</v>
      </c>
      <c r="H20" s="166"/>
      <c r="I20" s="167">
        <f t="shared" si="2"/>
        <v>104.89977469169548</v>
      </c>
      <c r="J20" s="168">
        <f t="shared" si="3"/>
        <v>4</v>
      </c>
      <c r="K20" s="169">
        <f t="shared" si="4"/>
        <v>10</v>
      </c>
      <c r="L20" s="152">
        <v>2</v>
      </c>
      <c r="M20" s="212" t="s">
        <v>154</v>
      </c>
      <c r="N20" s="171">
        <v>48945</v>
      </c>
      <c r="O20" s="163">
        <v>44861.421778000004</v>
      </c>
      <c r="P20" s="172">
        <f t="shared" si="10"/>
        <v>47470.035056000001</v>
      </c>
      <c r="Q20" s="166"/>
      <c r="R20" s="165">
        <f t="shared" si="5"/>
        <v>105.81482524318758</v>
      </c>
      <c r="S20" s="166"/>
      <c r="T20" s="172">
        <f t="shared" si="11"/>
        <v>435.91241000000002</v>
      </c>
      <c r="U20" s="173">
        <f t="shared" si="6"/>
        <v>96.986484944325269</v>
      </c>
      <c r="V20" s="174">
        <f t="shared" si="7"/>
        <v>29.09594548329758</v>
      </c>
      <c r="W20" s="166" t="str">
        <f t="shared" si="8"/>
        <v/>
      </c>
      <c r="X20" s="166" t="str">
        <f t="shared" si="16"/>
        <v>0</v>
      </c>
      <c r="Y20" s="175">
        <f t="shared" si="13"/>
        <v>5.8191890966595157</v>
      </c>
      <c r="Z20" s="176">
        <f t="shared" si="9"/>
        <v>29.09594548329758</v>
      </c>
      <c r="AC20" s="185" t="s">
        <v>54</v>
      </c>
      <c r="AD20" s="181">
        <v>79489573114</v>
      </c>
      <c r="AE20" s="181">
        <v>37849955788</v>
      </c>
      <c r="AF20" s="181">
        <v>23814060</v>
      </c>
      <c r="AG20" s="181">
        <v>0</v>
      </c>
      <c r="AH20" s="182">
        <v>117363342962</v>
      </c>
      <c r="AI20" s="181">
        <v>79126032855</v>
      </c>
      <c r="AJ20" s="181">
        <v>35957911086</v>
      </c>
      <c r="AK20" s="181">
        <v>23318742</v>
      </c>
      <c r="AL20" s="181">
        <v>0</v>
      </c>
      <c r="AM20" s="183">
        <v>115107262683</v>
      </c>
      <c r="AN20" s="184">
        <f t="shared" si="14"/>
        <v>35981229828</v>
      </c>
      <c r="AO20" s="184">
        <f t="shared" si="15"/>
        <v>37873769848</v>
      </c>
    </row>
    <row r="21" spans="1:44">
      <c r="A21" s="606"/>
      <c r="B21" s="210">
        <v>2</v>
      </c>
      <c r="C21" s="213" t="s">
        <v>151</v>
      </c>
      <c r="D21" s="163">
        <v>352943</v>
      </c>
      <c r="E21" s="163">
        <v>369288.89427799999</v>
      </c>
      <c r="F21" s="164">
        <f t="shared" si="0"/>
        <v>369263.31683700002</v>
      </c>
      <c r="G21" s="165">
        <f t="shared" si="1"/>
        <v>99.993073866721616</v>
      </c>
      <c r="H21" s="166"/>
      <c r="I21" s="167">
        <f t="shared" si="2"/>
        <v>104.6240658794763</v>
      </c>
      <c r="J21" s="168">
        <f t="shared" si="3"/>
        <v>4</v>
      </c>
      <c r="K21" s="169">
        <f t="shared" si="4"/>
        <v>10</v>
      </c>
      <c r="L21" s="152">
        <v>2</v>
      </c>
      <c r="M21" s="214" t="s">
        <v>149</v>
      </c>
      <c r="N21" s="171">
        <v>53537</v>
      </c>
      <c r="O21" s="163">
        <v>48063.012169000001</v>
      </c>
      <c r="P21" s="172">
        <f t="shared" si="10"/>
        <v>51192.368634999999</v>
      </c>
      <c r="Q21" s="166"/>
      <c r="R21" s="165">
        <f t="shared" si="5"/>
        <v>106.51094537104021</v>
      </c>
      <c r="S21" s="166"/>
      <c r="T21" s="172">
        <f t="shared" si="11"/>
        <v>242.57959299999999</v>
      </c>
      <c r="U21" s="173">
        <f t="shared" si="6"/>
        <v>95.620540252535633</v>
      </c>
      <c r="V21" s="174">
        <f t="shared" si="7"/>
        <v>28.686162075760688</v>
      </c>
      <c r="W21" s="166" t="str">
        <f t="shared" si="8"/>
        <v/>
      </c>
      <c r="X21" s="166" t="str">
        <f t="shared" si="16"/>
        <v>0</v>
      </c>
      <c r="Y21" s="175">
        <f t="shared" si="13"/>
        <v>5.7372324151521381</v>
      </c>
      <c r="Z21" s="176">
        <f t="shared" si="9"/>
        <v>28.686162075760688</v>
      </c>
      <c r="AC21" s="185" t="s">
        <v>59</v>
      </c>
      <c r="AD21" s="181">
        <v>79693527462</v>
      </c>
      <c r="AE21" s="181">
        <v>24811323467</v>
      </c>
      <c r="AF21" s="181">
        <v>123204068</v>
      </c>
      <c r="AG21" s="181">
        <v>0</v>
      </c>
      <c r="AH21" s="182">
        <v>104628054997</v>
      </c>
      <c r="AI21" s="181">
        <v>80488694339</v>
      </c>
      <c r="AJ21" s="181">
        <v>24315082101</v>
      </c>
      <c r="AK21" s="181">
        <v>107798900</v>
      </c>
      <c r="AL21" s="181">
        <v>0</v>
      </c>
      <c r="AM21" s="183">
        <v>104911575340</v>
      </c>
      <c r="AN21" s="184">
        <f t="shared" si="14"/>
        <v>24422881001</v>
      </c>
      <c r="AO21" s="184">
        <f t="shared" si="15"/>
        <v>24934527535</v>
      </c>
    </row>
    <row r="22" spans="1:44">
      <c r="A22" s="606"/>
      <c r="B22" s="210">
        <v>2</v>
      </c>
      <c r="C22" s="213" t="s">
        <v>155</v>
      </c>
      <c r="D22" s="163">
        <v>173602</v>
      </c>
      <c r="E22" s="163">
        <v>194236.930261</v>
      </c>
      <c r="F22" s="164">
        <f t="shared" si="0"/>
        <v>180191.37622400001</v>
      </c>
      <c r="G22" s="165">
        <f t="shared" si="1"/>
        <v>92.768855017361162</v>
      </c>
      <c r="H22" s="166"/>
      <c r="I22" s="167">
        <f t="shared" si="2"/>
        <v>103.79567990230528</v>
      </c>
      <c r="J22" s="168">
        <f t="shared" si="3"/>
        <v>4</v>
      </c>
      <c r="K22" s="169">
        <f t="shared" si="4"/>
        <v>10</v>
      </c>
      <c r="L22" s="152">
        <v>2</v>
      </c>
      <c r="M22" s="212" t="s">
        <v>152</v>
      </c>
      <c r="N22" s="171">
        <v>51645</v>
      </c>
      <c r="O22" s="163">
        <v>45982.541436</v>
      </c>
      <c r="P22" s="172">
        <f t="shared" si="10"/>
        <v>48725.054067999998</v>
      </c>
      <c r="Q22" s="166"/>
      <c r="R22" s="165">
        <f t="shared" si="5"/>
        <v>105.96424761736391</v>
      </c>
      <c r="S22" s="166"/>
      <c r="T22" s="172">
        <f t="shared" si="11"/>
        <v>-79.097691999999995</v>
      </c>
      <c r="U22" s="173">
        <f t="shared" si="6"/>
        <v>94.346120762900554</v>
      </c>
      <c r="V22" s="174">
        <f t="shared" si="7"/>
        <v>28.303836228870164</v>
      </c>
      <c r="W22" s="166" t="str">
        <f t="shared" si="8"/>
        <v/>
      </c>
      <c r="X22" s="166" t="str">
        <f t="shared" si="16"/>
        <v>0</v>
      </c>
      <c r="Y22" s="175">
        <f t="shared" si="13"/>
        <v>5.660767245774033</v>
      </c>
      <c r="Z22" s="176">
        <f t="shared" si="9"/>
        <v>28.303836228870164</v>
      </c>
      <c r="AC22" s="185" t="s">
        <v>33</v>
      </c>
      <c r="AD22" s="181">
        <v>218323992974</v>
      </c>
      <c r="AE22" s="181">
        <v>65294455751</v>
      </c>
      <c r="AF22" s="181">
        <v>139023660</v>
      </c>
      <c r="AG22" s="181">
        <v>0</v>
      </c>
      <c r="AH22" s="182">
        <v>283757472385</v>
      </c>
      <c r="AI22" s="181">
        <v>216342521543</v>
      </c>
      <c r="AJ22" s="181">
        <v>61763198870</v>
      </c>
      <c r="AK22" s="181">
        <v>131490977</v>
      </c>
      <c r="AL22" s="181">
        <v>0</v>
      </c>
      <c r="AM22" s="183">
        <v>278237211390</v>
      </c>
      <c r="AN22" s="184">
        <f t="shared" si="14"/>
        <v>61894689847</v>
      </c>
      <c r="AO22" s="184">
        <f t="shared" si="15"/>
        <v>65433479411</v>
      </c>
    </row>
    <row r="23" spans="1:44" ht="17.25" thickBot="1">
      <c r="A23" s="607"/>
      <c r="B23" s="215">
        <v>2</v>
      </c>
      <c r="C23" s="216" t="s">
        <v>156</v>
      </c>
      <c r="D23" s="188">
        <v>255500</v>
      </c>
      <c r="E23" s="188">
        <v>265164.78894900001</v>
      </c>
      <c r="F23" s="189">
        <f t="shared" si="0"/>
        <v>241537.95784700001</v>
      </c>
      <c r="G23" s="190">
        <f t="shared" si="1"/>
        <v>91.089755470307097</v>
      </c>
      <c r="H23" s="191"/>
      <c r="I23" s="192">
        <f t="shared" si="2"/>
        <v>94.535404245401182</v>
      </c>
      <c r="J23" s="193">
        <f t="shared" si="3"/>
        <v>3.7814161698160476</v>
      </c>
      <c r="K23" s="194">
        <f t="shared" si="4"/>
        <v>9.4535404245401189</v>
      </c>
      <c r="L23" s="152">
        <v>2</v>
      </c>
      <c r="M23" s="217" t="s">
        <v>156</v>
      </c>
      <c r="N23" s="196">
        <v>68038</v>
      </c>
      <c r="O23" s="197">
        <v>78276.518389000004</v>
      </c>
      <c r="P23" s="198">
        <f t="shared" si="10"/>
        <v>56736.576221000003</v>
      </c>
      <c r="Q23" s="191"/>
      <c r="R23" s="190">
        <f t="shared" si="5"/>
        <v>72.482242936565058</v>
      </c>
      <c r="S23" s="191"/>
      <c r="T23" s="199">
        <f t="shared" si="11"/>
        <v>-413.39372800000001</v>
      </c>
      <c r="U23" s="200">
        <f t="shared" si="6"/>
        <v>83.389541463593872</v>
      </c>
      <c r="V23" s="201">
        <f t="shared" si="7"/>
        <v>25.01686243907816</v>
      </c>
      <c r="W23" s="191" t="str">
        <f t="shared" si="8"/>
        <v/>
      </c>
      <c r="X23" s="191" t="str">
        <f t="shared" si="16"/>
        <v>0</v>
      </c>
      <c r="Y23" s="202">
        <f t="shared" si="13"/>
        <v>5.003372487815632</v>
      </c>
      <c r="Z23" s="203">
        <f t="shared" si="9"/>
        <v>25.01686243907816</v>
      </c>
      <c r="AC23" s="185" t="s">
        <v>50</v>
      </c>
      <c r="AD23" s="181">
        <v>144407344539</v>
      </c>
      <c r="AE23" s="181">
        <v>42014328714</v>
      </c>
      <c r="AF23" s="181">
        <v>158943476</v>
      </c>
      <c r="AG23" s="181">
        <v>0</v>
      </c>
      <c r="AH23" s="182">
        <v>186580616729</v>
      </c>
      <c r="AI23" s="181">
        <v>141126985419</v>
      </c>
      <c r="AJ23" s="181">
        <v>38932498836</v>
      </c>
      <c r="AK23" s="181">
        <v>131891969</v>
      </c>
      <c r="AL23" s="181">
        <v>0</v>
      </c>
      <c r="AM23" s="183">
        <v>180191376224</v>
      </c>
      <c r="AN23" s="184">
        <f t="shared" si="14"/>
        <v>39064390805</v>
      </c>
      <c r="AO23" s="184">
        <f t="shared" si="15"/>
        <v>42173272190</v>
      </c>
    </row>
    <row r="24" spans="1:44">
      <c r="A24" s="615" t="s">
        <v>157</v>
      </c>
      <c r="B24" s="218">
        <v>3</v>
      </c>
      <c r="C24" s="219" t="s">
        <v>158</v>
      </c>
      <c r="D24" s="145">
        <v>146079</v>
      </c>
      <c r="E24" s="145">
        <v>153802.95364699999</v>
      </c>
      <c r="F24" s="146">
        <f t="shared" si="0"/>
        <v>173211.80350000001</v>
      </c>
      <c r="G24" s="147">
        <f t="shared" si="1"/>
        <v>112.61929591907978</v>
      </c>
      <c r="H24" s="148"/>
      <c r="I24" s="149">
        <f t="shared" si="2"/>
        <v>118.57406163788089</v>
      </c>
      <c r="J24" s="150">
        <f t="shared" si="3"/>
        <v>4</v>
      </c>
      <c r="K24" s="151">
        <f t="shared" si="4"/>
        <v>10</v>
      </c>
      <c r="L24" s="152">
        <v>3</v>
      </c>
      <c r="M24" s="220" t="s">
        <v>159</v>
      </c>
      <c r="N24" s="154">
        <v>35050</v>
      </c>
      <c r="O24" s="145">
        <v>32048.632395000001</v>
      </c>
      <c r="P24" s="155">
        <f t="shared" si="10"/>
        <v>38254.644263000002</v>
      </c>
      <c r="Q24" s="148"/>
      <c r="R24" s="147">
        <f t="shared" si="5"/>
        <v>119.36435786560497</v>
      </c>
      <c r="S24" s="148"/>
      <c r="T24" s="207">
        <f t="shared" si="11"/>
        <v>-757.87043600000004</v>
      </c>
      <c r="U24" s="156">
        <f t="shared" si="6"/>
        <v>109.14306494436519</v>
      </c>
      <c r="V24" s="208">
        <f t="shared" si="7"/>
        <v>30</v>
      </c>
      <c r="W24" s="148" t="str">
        <f t="shared" si="8"/>
        <v>0</v>
      </c>
      <c r="X24" s="148">
        <f>COUNTIF(W24:W33,"0")*0.01</f>
        <v>0.04</v>
      </c>
      <c r="Y24" s="159">
        <f t="shared" si="13"/>
        <v>6.0362999999999998</v>
      </c>
      <c r="Z24" s="209">
        <f t="shared" si="9"/>
        <v>30.04</v>
      </c>
      <c r="AC24" s="185" t="s">
        <v>62</v>
      </c>
      <c r="AD24" s="181">
        <v>61932177270</v>
      </c>
      <c r="AE24" s="181">
        <v>22035716865</v>
      </c>
      <c r="AF24" s="181">
        <v>26258490</v>
      </c>
      <c r="AG24" s="181">
        <v>0</v>
      </c>
      <c r="AH24" s="182">
        <v>83994152625</v>
      </c>
      <c r="AI24" s="181">
        <v>59622477215</v>
      </c>
      <c r="AJ24" s="181">
        <v>20281056778</v>
      </c>
      <c r="AK24" s="181">
        <v>22567615</v>
      </c>
      <c r="AL24" s="181">
        <v>0</v>
      </c>
      <c r="AM24" s="183">
        <v>79926101608</v>
      </c>
      <c r="AN24" s="184">
        <f t="shared" si="14"/>
        <v>20303624393</v>
      </c>
      <c r="AO24" s="184">
        <f t="shared" si="15"/>
        <v>22061975355</v>
      </c>
    </row>
    <row r="25" spans="1:44">
      <c r="A25" s="616"/>
      <c r="B25" s="221">
        <v>3</v>
      </c>
      <c r="C25" s="222" t="s">
        <v>160</v>
      </c>
      <c r="D25" s="163">
        <v>114428</v>
      </c>
      <c r="E25" s="163">
        <v>115577.487697</v>
      </c>
      <c r="F25" s="164">
        <f t="shared" si="0"/>
        <v>134420.75654199999</v>
      </c>
      <c r="G25" s="165">
        <f t="shared" si="1"/>
        <v>116.303580585174</v>
      </c>
      <c r="H25" s="166"/>
      <c r="I25" s="167">
        <f t="shared" si="2"/>
        <v>117.47190944698849</v>
      </c>
      <c r="J25" s="168">
        <f t="shared" si="3"/>
        <v>4</v>
      </c>
      <c r="K25" s="169">
        <f t="shared" si="4"/>
        <v>10</v>
      </c>
      <c r="L25" s="152">
        <v>3</v>
      </c>
      <c r="M25" s="223" t="s">
        <v>160</v>
      </c>
      <c r="N25" s="171">
        <v>32723</v>
      </c>
      <c r="O25" s="163">
        <v>30069.662999</v>
      </c>
      <c r="P25" s="172">
        <f t="shared" si="10"/>
        <v>33797.532978000003</v>
      </c>
      <c r="Q25" s="166"/>
      <c r="R25" s="165">
        <f t="shared" si="5"/>
        <v>112.39744515634902</v>
      </c>
      <c r="S25" s="166"/>
      <c r="T25" s="172">
        <f t="shared" si="11"/>
        <v>237.038768</v>
      </c>
      <c r="U25" s="173">
        <f t="shared" si="6"/>
        <v>103.28372391895608</v>
      </c>
      <c r="V25" s="174">
        <f t="shared" si="7"/>
        <v>30</v>
      </c>
      <c r="W25" s="166" t="str">
        <f t="shared" si="8"/>
        <v>0</v>
      </c>
      <c r="X25" s="166">
        <f t="shared" ref="X25:X33" si="17">IF(X24-0.01&lt;0,"0",X24-0.01)</f>
        <v>0.03</v>
      </c>
      <c r="Y25" s="175">
        <f t="shared" si="13"/>
        <v>6.0231000000000003</v>
      </c>
      <c r="Z25" s="176">
        <f t="shared" si="9"/>
        <v>30.03</v>
      </c>
      <c r="AC25" s="185" t="s">
        <v>34</v>
      </c>
      <c r="AD25" s="181">
        <v>302217227455</v>
      </c>
      <c r="AE25" s="181">
        <v>72192504658</v>
      </c>
      <c r="AF25" s="181">
        <v>0</v>
      </c>
      <c r="AG25" s="181">
        <v>0</v>
      </c>
      <c r="AH25" s="182">
        <v>374409732113</v>
      </c>
      <c r="AI25" s="181">
        <v>297673773614</v>
      </c>
      <c r="AJ25" s="181">
        <v>71589543223</v>
      </c>
      <c r="AK25" s="181">
        <v>0</v>
      </c>
      <c r="AL25" s="181">
        <v>0</v>
      </c>
      <c r="AM25" s="183">
        <v>369263316837</v>
      </c>
      <c r="AN25" s="184">
        <f t="shared" si="14"/>
        <v>71589543223</v>
      </c>
      <c r="AO25" s="184">
        <f t="shared" si="15"/>
        <v>72192504658</v>
      </c>
    </row>
    <row r="26" spans="1:44">
      <c r="A26" s="616"/>
      <c r="B26" s="221">
        <v>3</v>
      </c>
      <c r="C26" s="224" t="s">
        <v>161</v>
      </c>
      <c r="D26" s="163">
        <v>140465</v>
      </c>
      <c r="E26" s="163">
        <v>143950.54982099999</v>
      </c>
      <c r="F26" s="164">
        <f t="shared" si="0"/>
        <v>152820.093441</v>
      </c>
      <c r="G26" s="165">
        <f t="shared" si="1"/>
        <v>106.16152118281529</v>
      </c>
      <c r="H26" s="166"/>
      <c r="I26" s="167">
        <f t="shared" si="2"/>
        <v>108.79585194959598</v>
      </c>
      <c r="J26" s="168">
        <f t="shared" si="3"/>
        <v>4</v>
      </c>
      <c r="K26" s="169">
        <f t="shared" si="4"/>
        <v>10</v>
      </c>
      <c r="L26" s="152">
        <v>3</v>
      </c>
      <c r="M26" s="223" t="s">
        <v>162</v>
      </c>
      <c r="N26" s="171">
        <v>37301</v>
      </c>
      <c r="O26" s="163">
        <v>34175.038414000002</v>
      </c>
      <c r="P26" s="172">
        <f t="shared" si="10"/>
        <v>38179.761086999999</v>
      </c>
      <c r="Q26" s="166"/>
      <c r="R26" s="165">
        <f t="shared" si="5"/>
        <v>111.71826824153455</v>
      </c>
      <c r="S26" s="166"/>
      <c r="T26" s="172">
        <f t="shared" si="11"/>
        <v>414.76740599999999</v>
      </c>
      <c r="U26" s="173">
        <f t="shared" si="6"/>
        <v>102.35586468727379</v>
      </c>
      <c r="V26" s="174">
        <f t="shared" si="7"/>
        <v>30</v>
      </c>
      <c r="W26" s="166" t="str">
        <f t="shared" si="8"/>
        <v>0</v>
      </c>
      <c r="X26" s="166">
        <f t="shared" si="17"/>
        <v>1.9999999999999997E-2</v>
      </c>
      <c r="Y26" s="175">
        <f t="shared" si="13"/>
        <v>6.0198</v>
      </c>
      <c r="Z26" s="176">
        <f t="shared" si="9"/>
        <v>30.02</v>
      </c>
      <c r="AC26" s="185" t="s">
        <v>66</v>
      </c>
      <c r="AD26" s="181">
        <v>80681019947</v>
      </c>
      <c r="AE26" s="181">
        <v>21092369857</v>
      </c>
      <c r="AF26" s="181">
        <v>0</v>
      </c>
      <c r="AG26" s="181">
        <v>0</v>
      </c>
      <c r="AH26" s="182">
        <v>101773389804</v>
      </c>
      <c r="AI26" s="181">
        <v>81540314769</v>
      </c>
      <c r="AJ26" s="181">
        <v>20040048232</v>
      </c>
      <c r="AK26" s="181">
        <v>0</v>
      </c>
      <c r="AL26" s="181">
        <v>0</v>
      </c>
      <c r="AM26" s="183">
        <v>101580363001</v>
      </c>
      <c r="AN26" s="184">
        <f t="shared" si="14"/>
        <v>20040048232</v>
      </c>
      <c r="AO26" s="184">
        <f t="shared" si="15"/>
        <v>21092369857</v>
      </c>
    </row>
    <row r="27" spans="1:44">
      <c r="A27" s="616"/>
      <c r="B27" s="221">
        <v>3</v>
      </c>
      <c r="C27" s="222" t="s">
        <v>163</v>
      </c>
      <c r="D27" s="163">
        <v>247075</v>
      </c>
      <c r="E27" s="163">
        <v>258498.33028600001</v>
      </c>
      <c r="F27" s="164">
        <f t="shared" si="0"/>
        <v>268272.19089299999</v>
      </c>
      <c r="G27" s="165">
        <f t="shared" si="1"/>
        <v>103.78101498612632</v>
      </c>
      <c r="H27" s="166"/>
      <c r="I27" s="167">
        <f t="shared" si="2"/>
        <v>108.57925362460792</v>
      </c>
      <c r="J27" s="168">
        <f t="shared" si="3"/>
        <v>4</v>
      </c>
      <c r="K27" s="169">
        <f t="shared" si="4"/>
        <v>10</v>
      </c>
      <c r="L27" s="152">
        <v>3</v>
      </c>
      <c r="M27" s="223" t="s">
        <v>164</v>
      </c>
      <c r="N27" s="171">
        <v>24369</v>
      </c>
      <c r="O27" s="163">
        <v>21140.229006000001</v>
      </c>
      <c r="P27" s="172">
        <f t="shared" si="10"/>
        <v>24422.881001000002</v>
      </c>
      <c r="Q27" s="166"/>
      <c r="R27" s="165">
        <f t="shared" si="5"/>
        <v>115.52798692042703</v>
      </c>
      <c r="S27" s="166"/>
      <c r="T27" s="172">
        <f t="shared" si="11"/>
        <v>113.18892700000001</v>
      </c>
      <c r="U27" s="173">
        <f t="shared" si="6"/>
        <v>100.22110468628176</v>
      </c>
      <c r="V27" s="174">
        <f t="shared" si="7"/>
        <v>30</v>
      </c>
      <c r="W27" s="166" t="str">
        <f t="shared" si="8"/>
        <v>0</v>
      </c>
      <c r="X27" s="166">
        <f t="shared" si="17"/>
        <v>9.9999999999999967E-3</v>
      </c>
      <c r="Y27" s="175">
        <f t="shared" si="13"/>
        <v>6.0033000000000003</v>
      </c>
      <c r="Z27" s="176">
        <f t="shared" si="9"/>
        <v>30.01</v>
      </c>
      <c r="AC27" s="185" t="s">
        <v>63</v>
      </c>
      <c r="AD27" s="181">
        <v>49388489671</v>
      </c>
      <c r="AE27" s="181">
        <v>19625332303</v>
      </c>
      <c r="AF27" s="181">
        <v>0</v>
      </c>
      <c r="AG27" s="181">
        <v>0</v>
      </c>
      <c r="AH27" s="182">
        <v>69013821974</v>
      </c>
      <c r="AI27" s="181">
        <v>49641701885</v>
      </c>
      <c r="AJ27" s="181">
        <v>18511132746</v>
      </c>
      <c r="AK27" s="181">
        <v>0</v>
      </c>
      <c r="AL27" s="181">
        <v>0</v>
      </c>
      <c r="AM27" s="183">
        <v>68152834631</v>
      </c>
      <c r="AN27" s="184">
        <f t="shared" si="14"/>
        <v>18511132746</v>
      </c>
      <c r="AO27" s="184">
        <f t="shared" si="15"/>
        <v>19625332303</v>
      </c>
    </row>
    <row r="28" spans="1:44">
      <c r="A28" s="616"/>
      <c r="B28" s="221">
        <v>3</v>
      </c>
      <c r="C28" s="222" t="s">
        <v>165</v>
      </c>
      <c r="D28" s="163">
        <v>111060</v>
      </c>
      <c r="E28" s="163">
        <v>113168.49449300001</v>
      </c>
      <c r="F28" s="164">
        <f t="shared" si="0"/>
        <v>120311.57211199999</v>
      </c>
      <c r="G28" s="165">
        <f t="shared" si="1"/>
        <v>106.31189594860416</v>
      </c>
      <c r="H28" s="166"/>
      <c r="I28" s="167">
        <f t="shared" si="2"/>
        <v>108.3302468143346</v>
      </c>
      <c r="J28" s="168">
        <f t="shared" si="3"/>
        <v>4</v>
      </c>
      <c r="K28" s="169">
        <f t="shared" si="4"/>
        <v>10</v>
      </c>
      <c r="L28" s="152">
        <v>3</v>
      </c>
      <c r="M28" s="223" t="s">
        <v>166</v>
      </c>
      <c r="N28" s="171">
        <v>44175</v>
      </c>
      <c r="O28" s="163">
        <v>38659.811818000002</v>
      </c>
      <c r="P28" s="172">
        <f t="shared" si="10"/>
        <v>43887.774230000003</v>
      </c>
      <c r="Q28" s="166"/>
      <c r="R28" s="165">
        <f t="shared" si="5"/>
        <v>113.52298980815489</v>
      </c>
      <c r="S28" s="166"/>
      <c r="T28" s="172">
        <f t="shared" si="11"/>
        <v>114.182275</v>
      </c>
      <c r="U28" s="173">
        <f t="shared" si="6"/>
        <v>99.349800181097919</v>
      </c>
      <c r="V28" s="174">
        <f t="shared" si="7"/>
        <v>29.804940054329375</v>
      </c>
      <c r="W28" s="166" t="str">
        <f t="shared" si="8"/>
        <v/>
      </c>
      <c r="X28" s="166" t="str">
        <f t="shared" si="17"/>
        <v>0</v>
      </c>
      <c r="Y28" s="175">
        <f t="shared" si="13"/>
        <v>5.9609880108658748</v>
      </c>
      <c r="Z28" s="176">
        <f t="shared" si="9"/>
        <v>29.804940054329375</v>
      </c>
      <c r="AC28" s="185" t="s">
        <v>65</v>
      </c>
      <c r="AD28" s="181">
        <v>29008507120</v>
      </c>
      <c r="AE28" s="181">
        <v>7322525058</v>
      </c>
      <c r="AF28" s="181">
        <v>352000</v>
      </c>
      <c r="AG28" s="181">
        <v>0</v>
      </c>
      <c r="AH28" s="182">
        <v>36331384178</v>
      </c>
      <c r="AI28" s="181">
        <v>28755530626</v>
      </c>
      <c r="AJ28" s="181">
        <v>7579926976</v>
      </c>
      <c r="AK28" s="181">
        <v>2580818</v>
      </c>
      <c r="AL28" s="181">
        <v>0</v>
      </c>
      <c r="AM28" s="183">
        <v>36338038420</v>
      </c>
      <c r="AN28" s="184">
        <f t="shared" si="14"/>
        <v>7582507794</v>
      </c>
      <c r="AO28" s="184">
        <f t="shared" si="15"/>
        <v>7322877058</v>
      </c>
    </row>
    <row r="29" spans="1:44">
      <c r="A29" s="616"/>
      <c r="B29" s="221">
        <v>3</v>
      </c>
      <c r="C29" s="222" t="s">
        <v>166</v>
      </c>
      <c r="D29" s="163">
        <v>168242</v>
      </c>
      <c r="E29" s="163">
        <v>173959.69141699999</v>
      </c>
      <c r="F29" s="164">
        <f t="shared" si="0"/>
        <v>181474.42251999999</v>
      </c>
      <c r="G29" s="165">
        <f t="shared" si="1"/>
        <v>104.31981169993362</v>
      </c>
      <c r="H29" s="166"/>
      <c r="I29" s="167">
        <f t="shared" si="2"/>
        <v>107.86511246894354</v>
      </c>
      <c r="J29" s="168">
        <f t="shared" si="3"/>
        <v>4</v>
      </c>
      <c r="K29" s="169">
        <f t="shared" si="4"/>
        <v>10</v>
      </c>
      <c r="L29" s="152">
        <v>3</v>
      </c>
      <c r="M29" s="223" t="s">
        <v>163</v>
      </c>
      <c r="N29" s="171">
        <v>43423</v>
      </c>
      <c r="O29" s="163">
        <v>39525.569112999998</v>
      </c>
      <c r="P29" s="172">
        <f t="shared" si="10"/>
        <v>43087.853062000002</v>
      </c>
      <c r="Q29" s="166"/>
      <c r="R29" s="165">
        <f t="shared" si="5"/>
        <v>109.01260634303773</v>
      </c>
      <c r="S29" s="166"/>
      <c r="T29" s="172">
        <f t="shared" si="11"/>
        <v>162.12641199999999</v>
      </c>
      <c r="U29" s="173">
        <f t="shared" si="6"/>
        <v>99.22818106072819</v>
      </c>
      <c r="V29" s="174">
        <f t="shared" si="7"/>
        <v>29.768454318218456</v>
      </c>
      <c r="W29" s="166" t="str">
        <f t="shared" si="8"/>
        <v/>
      </c>
      <c r="X29" s="166" t="str">
        <f t="shared" si="17"/>
        <v>0</v>
      </c>
      <c r="Y29" s="175">
        <f t="shared" si="13"/>
        <v>5.9536908636436916</v>
      </c>
      <c r="Z29" s="176">
        <f t="shared" si="9"/>
        <v>29.768454318218456</v>
      </c>
      <c r="AC29" s="185" t="s">
        <v>45</v>
      </c>
      <c r="AD29" s="181">
        <v>101399812469</v>
      </c>
      <c r="AE29" s="181">
        <v>49315181556</v>
      </c>
      <c r="AF29" s="181">
        <v>0</v>
      </c>
      <c r="AG29" s="181">
        <v>0</v>
      </c>
      <c r="AH29" s="182">
        <v>150714994025</v>
      </c>
      <c r="AI29" s="181">
        <v>106599244927</v>
      </c>
      <c r="AJ29" s="181">
        <v>47470035056</v>
      </c>
      <c r="AK29" s="181">
        <v>0</v>
      </c>
      <c r="AL29" s="181">
        <v>0</v>
      </c>
      <c r="AM29" s="183">
        <v>154069279983</v>
      </c>
      <c r="AN29" s="184">
        <f t="shared" si="14"/>
        <v>47470035056</v>
      </c>
      <c r="AO29" s="184">
        <f t="shared" si="15"/>
        <v>49315181556</v>
      </c>
    </row>
    <row r="30" spans="1:44">
      <c r="A30" s="616"/>
      <c r="B30" s="221">
        <v>3</v>
      </c>
      <c r="C30" s="222" t="s">
        <v>162</v>
      </c>
      <c r="D30" s="163">
        <v>161565</v>
      </c>
      <c r="E30" s="163">
        <v>167727.92002699999</v>
      </c>
      <c r="F30" s="164">
        <f t="shared" si="0"/>
        <v>173115.560451</v>
      </c>
      <c r="G30" s="165">
        <f t="shared" si="1"/>
        <v>103.21213094583939</v>
      </c>
      <c r="H30" s="166"/>
      <c r="I30" s="167">
        <f t="shared" si="2"/>
        <v>107.14917243895646</v>
      </c>
      <c r="J30" s="168">
        <f t="shared" si="3"/>
        <v>4</v>
      </c>
      <c r="K30" s="169">
        <f t="shared" si="4"/>
        <v>10</v>
      </c>
      <c r="L30" s="152">
        <v>3</v>
      </c>
      <c r="M30" s="223" t="s">
        <v>158</v>
      </c>
      <c r="N30" s="171">
        <v>37777</v>
      </c>
      <c r="O30" s="163">
        <v>34427.359450000004</v>
      </c>
      <c r="P30" s="172">
        <f t="shared" si="10"/>
        <v>37174.971739000001</v>
      </c>
      <c r="Q30" s="166"/>
      <c r="R30" s="165">
        <f t="shared" si="5"/>
        <v>107.98089755617315</v>
      </c>
      <c r="S30" s="166"/>
      <c r="T30" s="172">
        <f t="shared" si="11"/>
        <v>-14.739801</v>
      </c>
      <c r="U30" s="173">
        <f t="shared" si="6"/>
        <v>98.406362969531727</v>
      </c>
      <c r="V30" s="174">
        <f t="shared" si="7"/>
        <v>29.521908890859518</v>
      </c>
      <c r="W30" s="166" t="str">
        <f t="shared" si="8"/>
        <v/>
      </c>
      <c r="X30" s="166" t="str">
        <f t="shared" si="17"/>
        <v>0</v>
      </c>
      <c r="Y30" s="175">
        <f t="shared" si="13"/>
        <v>5.9043817781719037</v>
      </c>
      <c r="Z30" s="176">
        <f t="shared" si="9"/>
        <v>29.521908890859518</v>
      </c>
      <c r="AC30" s="185" t="s">
        <v>67</v>
      </c>
      <c r="AD30" s="181">
        <v>123447373705</v>
      </c>
      <c r="AE30" s="181">
        <v>26903893171</v>
      </c>
      <c r="AF30" s="181">
        <v>0</v>
      </c>
      <c r="AG30" s="181">
        <v>286</v>
      </c>
      <c r="AH30" s="182">
        <v>150351267162</v>
      </c>
      <c r="AI30" s="181">
        <v>117519489519</v>
      </c>
      <c r="AJ30" s="181">
        <v>26679172136</v>
      </c>
      <c r="AK30" s="181">
        <v>0</v>
      </c>
      <c r="AL30" s="181">
        <v>286</v>
      </c>
      <c r="AM30" s="183">
        <v>144198661941</v>
      </c>
      <c r="AN30" s="184">
        <f t="shared" si="14"/>
        <v>26679172422</v>
      </c>
      <c r="AO30" s="184">
        <f t="shared" si="15"/>
        <v>26903893457</v>
      </c>
    </row>
    <row r="31" spans="1:44">
      <c r="A31" s="616"/>
      <c r="B31" s="221">
        <v>3</v>
      </c>
      <c r="C31" s="222" t="s">
        <v>159</v>
      </c>
      <c r="D31" s="163">
        <v>288449</v>
      </c>
      <c r="E31" s="163">
        <v>297196.94152599998</v>
      </c>
      <c r="F31" s="164">
        <f t="shared" si="0"/>
        <v>304217.31595399999</v>
      </c>
      <c r="G31" s="165">
        <f t="shared" si="1"/>
        <v>102.36219605489642</v>
      </c>
      <c r="H31" s="166"/>
      <c r="I31" s="167">
        <f t="shared" si="2"/>
        <v>105.46658714504125</v>
      </c>
      <c r="J31" s="168">
        <f t="shared" si="3"/>
        <v>4</v>
      </c>
      <c r="K31" s="169">
        <f t="shared" si="4"/>
        <v>10</v>
      </c>
      <c r="L31" s="152">
        <v>3</v>
      </c>
      <c r="M31" s="223" t="s">
        <v>165</v>
      </c>
      <c r="N31" s="171">
        <v>36775</v>
      </c>
      <c r="O31" s="163">
        <v>31572.257339</v>
      </c>
      <c r="P31" s="172">
        <f t="shared" si="10"/>
        <v>35527.276075000002</v>
      </c>
      <c r="Q31" s="166"/>
      <c r="R31" s="165">
        <f t="shared" si="5"/>
        <v>112.52687982849589</v>
      </c>
      <c r="S31" s="166"/>
      <c r="T31" s="172">
        <f t="shared" si="11"/>
        <v>222.38746900000001</v>
      </c>
      <c r="U31" s="173">
        <f t="shared" si="6"/>
        <v>96.607140924541127</v>
      </c>
      <c r="V31" s="174">
        <f t="shared" si="7"/>
        <v>28.982142277362335</v>
      </c>
      <c r="W31" s="166" t="str">
        <f t="shared" si="8"/>
        <v/>
      </c>
      <c r="X31" s="166" t="str">
        <f t="shared" si="17"/>
        <v>0</v>
      </c>
      <c r="Y31" s="175">
        <f t="shared" si="13"/>
        <v>5.7964284554724674</v>
      </c>
      <c r="Z31" s="176">
        <f t="shared" si="9"/>
        <v>28.982142277362335</v>
      </c>
      <c r="AC31" s="185" t="s">
        <v>39</v>
      </c>
      <c r="AD31" s="181">
        <v>288035384218</v>
      </c>
      <c r="AE31" s="181">
        <v>96063291579</v>
      </c>
      <c r="AF31" s="181">
        <v>0</v>
      </c>
      <c r="AG31" s="181">
        <v>0</v>
      </c>
      <c r="AH31" s="182">
        <v>384098675797</v>
      </c>
      <c r="AI31" s="181">
        <v>288960190096</v>
      </c>
      <c r="AJ31" s="181">
        <v>89468126505</v>
      </c>
      <c r="AK31" s="181">
        <v>0</v>
      </c>
      <c r="AL31" s="181">
        <v>0</v>
      </c>
      <c r="AM31" s="183">
        <v>378428316601</v>
      </c>
      <c r="AN31" s="184">
        <f t="shared" si="14"/>
        <v>89468126505</v>
      </c>
      <c r="AO31" s="184">
        <f t="shared" si="15"/>
        <v>96063291579</v>
      </c>
    </row>
    <row r="32" spans="1:44">
      <c r="A32" s="616"/>
      <c r="B32" s="221">
        <v>3</v>
      </c>
      <c r="C32" s="222" t="s">
        <v>167</v>
      </c>
      <c r="D32" s="163">
        <v>215956</v>
      </c>
      <c r="E32" s="163">
        <v>224108.17157100001</v>
      </c>
      <c r="F32" s="164">
        <f t="shared" si="0"/>
        <v>226206.78490999999</v>
      </c>
      <c r="G32" s="165">
        <f t="shared" si="1"/>
        <v>100.9364287452299</v>
      </c>
      <c r="H32" s="166"/>
      <c r="I32" s="167">
        <f t="shared" si="2"/>
        <v>104.74670067513752</v>
      </c>
      <c r="J32" s="168">
        <f t="shared" si="3"/>
        <v>4</v>
      </c>
      <c r="K32" s="169">
        <f t="shared" si="4"/>
        <v>10</v>
      </c>
      <c r="L32" s="152">
        <v>3</v>
      </c>
      <c r="M32" s="225" t="s">
        <v>161</v>
      </c>
      <c r="N32" s="171">
        <v>37380</v>
      </c>
      <c r="O32" s="163">
        <v>32854.045244000001</v>
      </c>
      <c r="P32" s="172">
        <f t="shared" si="10"/>
        <v>35712.409793999999</v>
      </c>
      <c r="Q32" s="166"/>
      <c r="R32" s="165">
        <f t="shared" si="5"/>
        <v>108.70019058162102</v>
      </c>
      <c r="S32" s="166"/>
      <c r="T32" s="172">
        <f t="shared" si="11"/>
        <v>169.85601700000001</v>
      </c>
      <c r="U32" s="173">
        <f t="shared" si="6"/>
        <v>95.538816998394864</v>
      </c>
      <c r="V32" s="174">
        <f t="shared" si="7"/>
        <v>28.661645099518459</v>
      </c>
      <c r="W32" s="166" t="str">
        <f t="shared" si="8"/>
        <v/>
      </c>
      <c r="X32" s="166" t="str">
        <f t="shared" si="17"/>
        <v>0</v>
      </c>
      <c r="Y32" s="175">
        <f t="shared" si="13"/>
        <v>5.732329019903692</v>
      </c>
      <c r="Z32" s="176">
        <f t="shared" si="9"/>
        <v>28.661645099518459</v>
      </c>
      <c r="AC32" s="185" t="s">
        <v>46</v>
      </c>
      <c r="AD32" s="181">
        <v>179927374911</v>
      </c>
      <c r="AE32" s="181">
        <v>49013731637</v>
      </c>
      <c r="AF32" s="181">
        <v>0</v>
      </c>
      <c r="AG32" s="181">
        <v>256315</v>
      </c>
      <c r="AH32" s="182">
        <v>228941362863</v>
      </c>
      <c r="AI32" s="181">
        <v>181088867048</v>
      </c>
      <c r="AJ32" s="181">
        <v>45117002458</v>
      </c>
      <c r="AK32" s="181">
        <v>0</v>
      </c>
      <c r="AL32" s="181">
        <v>915404</v>
      </c>
      <c r="AM32" s="183">
        <v>226206784910</v>
      </c>
      <c r="AN32" s="184">
        <f t="shared" si="14"/>
        <v>45117917862</v>
      </c>
      <c r="AO32" s="184">
        <f t="shared" si="15"/>
        <v>49013987952</v>
      </c>
      <c r="AP32" s="1" t="s">
        <v>140</v>
      </c>
      <c r="AQ32" s="1" t="s">
        <v>141</v>
      </c>
      <c r="AR32" s="1" t="s">
        <v>168</v>
      </c>
    </row>
    <row r="33" spans="1:44" ht="17.25" thickBot="1">
      <c r="A33" s="617"/>
      <c r="B33" s="226">
        <v>3</v>
      </c>
      <c r="C33" s="227" t="s">
        <v>164</v>
      </c>
      <c r="D33" s="188">
        <v>101621</v>
      </c>
      <c r="E33" s="188">
        <v>103357.19198600001</v>
      </c>
      <c r="F33" s="189">
        <f t="shared" si="0"/>
        <v>104911.57534</v>
      </c>
      <c r="G33" s="190">
        <f t="shared" si="1"/>
        <v>101.50389472095037</v>
      </c>
      <c r="H33" s="191"/>
      <c r="I33" s="192">
        <f t="shared" si="2"/>
        <v>103.2380859664833</v>
      </c>
      <c r="J33" s="193">
        <f t="shared" si="3"/>
        <v>4</v>
      </c>
      <c r="K33" s="194">
        <f t="shared" si="4"/>
        <v>10</v>
      </c>
      <c r="L33" s="152">
        <v>3</v>
      </c>
      <c r="M33" s="228" t="s">
        <v>167</v>
      </c>
      <c r="N33" s="196">
        <v>47487</v>
      </c>
      <c r="O33" s="197">
        <v>40664.920655000002</v>
      </c>
      <c r="P33" s="198">
        <f t="shared" si="10"/>
        <v>45117.917862000002</v>
      </c>
      <c r="Q33" s="191"/>
      <c r="R33" s="190">
        <f t="shared" si="5"/>
        <v>110.95046328696691</v>
      </c>
      <c r="S33" s="191"/>
      <c r="T33" s="229">
        <f t="shared" si="11"/>
        <v>54.869700999999999</v>
      </c>
      <c r="U33" s="200">
        <f t="shared" si="6"/>
        <v>95.011093271842824</v>
      </c>
      <c r="V33" s="201">
        <f t="shared" si="7"/>
        <v>28.503327981552847</v>
      </c>
      <c r="W33" s="191" t="str">
        <f t="shared" si="8"/>
        <v/>
      </c>
      <c r="X33" s="191" t="str">
        <f t="shared" si="17"/>
        <v>0</v>
      </c>
      <c r="Y33" s="202">
        <f t="shared" si="13"/>
        <v>5.7006655963105697</v>
      </c>
      <c r="Z33" s="203">
        <f t="shared" si="9"/>
        <v>28.503327981552847</v>
      </c>
      <c r="AC33" s="230" t="s">
        <v>31</v>
      </c>
      <c r="AD33" s="231">
        <v>186389522025</v>
      </c>
      <c r="AE33" s="231">
        <v>62494454171</v>
      </c>
      <c r="AF33" s="231">
        <v>0</v>
      </c>
      <c r="AG33" s="231">
        <v>0</v>
      </c>
      <c r="AH33" s="232">
        <v>248883976196</v>
      </c>
      <c r="AI33" s="231">
        <v>197927811597</v>
      </c>
      <c r="AJ33" s="231">
        <v>77359502050</v>
      </c>
      <c r="AK33" s="231">
        <v>21436899</v>
      </c>
      <c r="AL33" s="231">
        <v>0</v>
      </c>
      <c r="AM33" s="233">
        <v>275308750546</v>
      </c>
      <c r="AN33" s="234">
        <f t="shared" si="14"/>
        <v>77380938949</v>
      </c>
      <c r="AO33" s="234">
        <f t="shared" si="15"/>
        <v>62494454171</v>
      </c>
      <c r="AP33" s="235">
        <f>AN33+AN37</f>
        <v>127936348378</v>
      </c>
      <c r="AQ33" s="235">
        <f>AO33+AO37</f>
        <v>122327969828</v>
      </c>
      <c r="AR33" s="235">
        <f>AM33+AM37</f>
        <v>473815455448</v>
      </c>
    </row>
    <row r="34" spans="1:44">
      <c r="A34" s="608" t="s">
        <v>169</v>
      </c>
      <c r="B34" s="236">
        <v>4</v>
      </c>
      <c r="C34" s="237" t="s">
        <v>170</v>
      </c>
      <c r="D34" s="145">
        <v>72426</v>
      </c>
      <c r="E34" s="145">
        <v>74430.712794000006</v>
      </c>
      <c r="F34" s="146">
        <f t="shared" si="0"/>
        <v>79926.101607999997</v>
      </c>
      <c r="G34" s="147">
        <f t="shared" si="1"/>
        <v>107.38322744430708</v>
      </c>
      <c r="H34" s="148"/>
      <c r="I34" s="149">
        <f t="shared" si="2"/>
        <v>110.35553752519813</v>
      </c>
      <c r="J34" s="150">
        <f t="shared" si="3"/>
        <v>4</v>
      </c>
      <c r="K34" s="151">
        <f t="shared" si="4"/>
        <v>10</v>
      </c>
      <c r="L34" s="152">
        <v>4</v>
      </c>
      <c r="M34" s="238" t="s">
        <v>171</v>
      </c>
      <c r="N34" s="154">
        <v>30447</v>
      </c>
      <c r="O34" s="145">
        <v>26272.659073999999</v>
      </c>
      <c r="P34" s="155">
        <f t="shared" si="10"/>
        <v>31292.439032999999</v>
      </c>
      <c r="Q34" s="148"/>
      <c r="R34" s="147">
        <f t="shared" si="5"/>
        <v>119.10647850627225</v>
      </c>
      <c r="S34" s="148"/>
      <c r="T34" s="155">
        <f t="shared" si="11"/>
        <v>-25.770592000000001</v>
      </c>
      <c r="U34" s="156">
        <f t="shared" si="6"/>
        <v>102.77675643905802</v>
      </c>
      <c r="V34" s="208">
        <f t="shared" si="7"/>
        <v>30</v>
      </c>
      <c r="W34" s="148" t="str">
        <f t="shared" si="8"/>
        <v>0</v>
      </c>
      <c r="X34" s="148">
        <f>COUNTIF(W34:W39,"0")*0.01</f>
        <v>0.02</v>
      </c>
      <c r="Y34" s="159">
        <f t="shared" si="13"/>
        <v>6.0099</v>
      </c>
      <c r="Z34" s="209">
        <f t="shared" si="9"/>
        <v>30.02</v>
      </c>
      <c r="AC34" s="185" t="s">
        <v>42</v>
      </c>
      <c r="AD34" s="181">
        <v>247230541644</v>
      </c>
      <c r="AE34" s="181">
        <v>93100034840</v>
      </c>
      <c r="AF34" s="181">
        <v>0</v>
      </c>
      <c r="AG34" s="181">
        <v>0</v>
      </c>
      <c r="AH34" s="182">
        <v>340330576484</v>
      </c>
      <c r="AI34" s="181">
        <v>242798871155</v>
      </c>
      <c r="AJ34" s="181">
        <v>87545718449</v>
      </c>
      <c r="AK34" s="181">
        <v>0</v>
      </c>
      <c r="AL34" s="181">
        <v>0</v>
      </c>
      <c r="AM34" s="183">
        <v>330344589604</v>
      </c>
      <c r="AN34" s="184">
        <f t="shared" si="14"/>
        <v>87545718449</v>
      </c>
      <c r="AO34" s="184">
        <f t="shared" si="15"/>
        <v>93100034840</v>
      </c>
      <c r="AQ34" s="115">
        <f>AQ33/1000000</f>
        <v>122327.969828</v>
      </c>
    </row>
    <row r="35" spans="1:44">
      <c r="A35" s="609"/>
      <c r="B35" s="239">
        <v>4</v>
      </c>
      <c r="C35" s="240" t="s">
        <v>171</v>
      </c>
      <c r="D35" s="163">
        <v>111388</v>
      </c>
      <c r="E35" s="163">
        <v>114118.16469200001</v>
      </c>
      <c r="F35" s="164">
        <f t="shared" si="0"/>
        <v>121517.554422</v>
      </c>
      <c r="G35" s="241">
        <f t="shared" si="1"/>
        <v>106.48397189875129</v>
      </c>
      <c r="H35" s="166"/>
      <c r="I35" s="242">
        <f t="shared" si="2"/>
        <v>109.09393688907242</v>
      </c>
      <c r="J35" s="243">
        <f t="shared" si="3"/>
        <v>4</v>
      </c>
      <c r="K35" s="244">
        <f t="shared" si="4"/>
        <v>10</v>
      </c>
      <c r="L35" s="152">
        <v>4</v>
      </c>
      <c r="M35" s="245" t="s">
        <v>54</v>
      </c>
      <c r="N35" s="171">
        <v>35182</v>
      </c>
      <c r="O35" s="163">
        <v>31631.938561999999</v>
      </c>
      <c r="P35" s="172">
        <f t="shared" si="10"/>
        <v>35981.229828000003</v>
      </c>
      <c r="Q35" s="166"/>
      <c r="R35" s="165">
        <f t="shared" si="5"/>
        <v>113.74968295880824</v>
      </c>
      <c r="S35" s="166"/>
      <c r="T35" s="172">
        <f t="shared" si="11"/>
        <v>910.52866800000004</v>
      </c>
      <c r="U35" s="173">
        <f t="shared" si="6"/>
        <v>102.27170094934911</v>
      </c>
      <c r="V35" s="174">
        <f t="shared" si="7"/>
        <v>30</v>
      </c>
      <c r="W35" s="166" t="str">
        <f t="shared" si="8"/>
        <v>0</v>
      </c>
      <c r="X35" s="166">
        <f>IF(X34-0.01&lt;0,"0",X34-0.01)</f>
        <v>0.01</v>
      </c>
      <c r="Y35" s="175">
        <f t="shared" si="13"/>
        <v>6.0065999999999997</v>
      </c>
      <c r="Z35" s="176">
        <f t="shared" si="9"/>
        <v>30.01</v>
      </c>
      <c r="AC35" s="185" t="s">
        <v>36</v>
      </c>
      <c r="AD35" s="181">
        <v>104540727753</v>
      </c>
      <c r="AE35" s="181">
        <v>31923098243</v>
      </c>
      <c r="AF35" s="181">
        <v>0</v>
      </c>
      <c r="AG35" s="181">
        <v>0</v>
      </c>
      <c r="AH35" s="182">
        <v>136463825996</v>
      </c>
      <c r="AI35" s="181">
        <v>100623223564</v>
      </c>
      <c r="AJ35" s="181">
        <v>33797532978</v>
      </c>
      <c r="AK35" s="181">
        <v>0</v>
      </c>
      <c r="AL35" s="181">
        <v>0</v>
      </c>
      <c r="AM35" s="183">
        <v>134420756542</v>
      </c>
      <c r="AN35" s="184">
        <f t="shared" si="14"/>
        <v>33797532978</v>
      </c>
      <c r="AO35" s="184">
        <f t="shared" si="15"/>
        <v>31923098243</v>
      </c>
    </row>
    <row r="36" spans="1:44">
      <c r="A36" s="609"/>
      <c r="B36" s="239">
        <v>4</v>
      </c>
      <c r="C36" s="240" t="s">
        <v>172</v>
      </c>
      <c r="D36" s="163">
        <v>102733</v>
      </c>
      <c r="E36" s="163">
        <v>106105.111741</v>
      </c>
      <c r="F36" s="164">
        <f t="shared" si="0"/>
        <v>109709.76779699999</v>
      </c>
      <c r="G36" s="241">
        <f t="shared" si="1"/>
        <v>103.39725013889894</v>
      </c>
      <c r="H36" s="166"/>
      <c r="I36" s="242">
        <f t="shared" si="2"/>
        <v>106.79116525069841</v>
      </c>
      <c r="J36" s="243">
        <f t="shared" si="3"/>
        <v>4</v>
      </c>
      <c r="K36" s="244">
        <f t="shared" si="4"/>
        <v>10</v>
      </c>
      <c r="L36" s="152">
        <v>4</v>
      </c>
      <c r="M36" s="245" t="s">
        <v>173</v>
      </c>
      <c r="N36" s="171">
        <v>26692</v>
      </c>
      <c r="O36" s="163">
        <v>23724.785357000001</v>
      </c>
      <c r="P36" s="172">
        <f t="shared" si="10"/>
        <v>26679.172422</v>
      </c>
      <c r="Q36" s="166"/>
      <c r="R36" s="165">
        <f t="shared" si="5"/>
        <v>112.45274517996137</v>
      </c>
      <c r="S36" s="166"/>
      <c r="T36" s="172">
        <f t="shared" si="11"/>
        <v>124.11090799999999</v>
      </c>
      <c r="U36" s="173">
        <f t="shared" si="6"/>
        <v>99.951942237374482</v>
      </c>
      <c r="V36" s="174">
        <f t="shared" si="7"/>
        <v>29.985582671212342</v>
      </c>
      <c r="W36" s="166" t="str">
        <f t="shared" si="8"/>
        <v/>
      </c>
      <c r="X36" s="166">
        <f>IF(X35-0.01&lt;0,"0",X35-0.01)</f>
        <v>0</v>
      </c>
      <c r="Y36" s="175">
        <f t="shared" si="13"/>
        <v>5.997116534242469</v>
      </c>
      <c r="Z36" s="176">
        <f t="shared" si="9"/>
        <v>29.985582671212342</v>
      </c>
      <c r="AC36" s="185" t="s">
        <v>35</v>
      </c>
      <c r="AD36" s="181">
        <v>238739103429</v>
      </c>
      <c r="AE36" s="181">
        <v>59711114610</v>
      </c>
      <c r="AF36" s="181">
        <v>83848904</v>
      </c>
      <c r="AG36" s="181">
        <v>0</v>
      </c>
      <c r="AH36" s="182">
        <v>298534066943</v>
      </c>
      <c r="AI36" s="181">
        <v>245864248835</v>
      </c>
      <c r="AJ36" s="181">
        <v>57722661632</v>
      </c>
      <c r="AK36" s="181">
        <v>68990747</v>
      </c>
      <c r="AL36" s="181">
        <v>0</v>
      </c>
      <c r="AM36" s="183">
        <v>303655901214</v>
      </c>
      <c r="AN36" s="184">
        <f t="shared" si="14"/>
        <v>57791652379</v>
      </c>
      <c r="AO36" s="184">
        <f t="shared" si="15"/>
        <v>59794963514</v>
      </c>
    </row>
    <row r="37" spans="1:44">
      <c r="A37" s="609"/>
      <c r="B37" s="239">
        <v>4</v>
      </c>
      <c r="C37" s="240" t="s">
        <v>56</v>
      </c>
      <c r="D37" s="163">
        <v>120659</v>
      </c>
      <c r="E37" s="163">
        <v>124561.56495</v>
      </c>
      <c r="F37" s="164">
        <f t="shared" si="0"/>
        <v>126542.61062399999</v>
      </c>
      <c r="G37" s="241">
        <f t="shared" si="1"/>
        <v>101.59041488824839</v>
      </c>
      <c r="H37" s="166"/>
      <c r="I37" s="242">
        <f t="shared" si="2"/>
        <v>104.8762302223622</v>
      </c>
      <c r="J37" s="243">
        <f t="shared" si="3"/>
        <v>4</v>
      </c>
      <c r="K37" s="244">
        <f t="shared" si="4"/>
        <v>10</v>
      </c>
      <c r="L37" s="152">
        <v>4</v>
      </c>
      <c r="M37" s="245" t="s">
        <v>56</v>
      </c>
      <c r="N37" s="171">
        <v>26497</v>
      </c>
      <c r="O37" s="163">
        <v>23468.710037000001</v>
      </c>
      <c r="P37" s="172">
        <f t="shared" si="10"/>
        <v>26469.439880000002</v>
      </c>
      <c r="Q37" s="166"/>
      <c r="R37" s="165">
        <f t="shared" si="5"/>
        <v>112.78608768129628</v>
      </c>
      <c r="S37" s="166"/>
      <c r="T37" s="172">
        <f t="shared" si="11"/>
        <v>-231.37847199999999</v>
      </c>
      <c r="U37" s="173">
        <f t="shared" si="6"/>
        <v>99.895987772200627</v>
      </c>
      <c r="V37" s="174">
        <f t="shared" si="7"/>
        <v>29.968796331660187</v>
      </c>
      <c r="W37" s="166" t="str">
        <f t="shared" si="8"/>
        <v/>
      </c>
      <c r="X37" s="166" t="str">
        <f>IF(X36-0.01&lt;0,"0",X36-0.01)</f>
        <v>0</v>
      </c>
      <c r="Y37" s="175">
        <f t="shared" si="13"/>
        <v>5.9937592663320371</v>
      </c>
      <c r="Z37" s="176">
        <f t="shared" si="9"/>
        <v>29.968796331660187</v>
      </c>
      <c r="AC37" s="230" t="s">
        <v>174</v>
      </c>
      <c r="AD37" s="231">
        <v>163342617963</v>
      </c>
      <c r="AE37" s="231">
        <v>59807215067</v>
      </c>
      <c r="AF37" s="231">
        <v>26300590</v>
      </c>
      <c r="AG37" s="231">
        <v>0</v>
      </c>
      <c r="AH37" s="232">
        <v>223176133620</v>
      </c>
      <c r="AI37" s="231">
        <v>147951295473</v>
      </c>
      <c r="AJ37" s="231">
        <v>50554189313</v>
      </c>
      <c r="AK37" s="231">
        <v>1220116</v>
      </c>
      <c r="AL37" s="231">
        <v>0</v>
      </c>
      <c r="AM37" s="233">
        <v>198506704902</v>
      </c>
      <c r="AN37" s="234">
        <f t="shared" si="14"/>
        <v>50555409429</v>
      </c>
      <c r="AO37" s="234">
        <f t="shared" si="15"/>
        <v>59833515657</v>
      </c>
    </row>
    <row r="38" spans="1:44">
      <c r="A38" s="609"/>
      <c r="B38" s="239">
        <v>4</v>
      </c>
      <c r="C38" s="240" t="s">
        <v>54</v>
      </c>
      <c r="D38" s="163">
        <v>110239</v>
      </c>
      <c r="E38" s="163">
        <v>117489.619918</v>
      </c>
      <c r="F38" s="164">
        <f t="shared" si="0"/>
        <v>115107.26268299999</v>
      </c>
      <c r="G38" s="241">
        <f t="shared" si="1"/>
        <v>97.972282796843899</v>
      </c>
      <c r="H38" s="166"/>
      <c r="I38" s="242">
        <f t="shared" si="2"/>
        <v>104.41609837081249</v>
      </c>
      <c r="J38" s="243">
        <f t="shared" si="3"/>
        <v>4</v>
      </c>
      <c r="K38" s="244">
        <f t="shared" si="4"/>
        <v>10</v>
      </c>
      <c r="L38" s="152">
        <v>4</v>
      </c>
      <c r="M38" s="245" t="s">
        <v>172</v>
      </c>
      <c r="N38" s="171">
        <v>21628</v>
      </c>
      <c r="O38" s="163">
        <v>19022.278429000002</v>
      </c>
      <c r="P38" s="172">
        <f t="shared" si="10"/>
        <v>21252.886484999999</v>
      </c>
      <c r="Q38" s="166"/>
      <c r="R38" s="165">
        <f t="shared" si="5"/>
        <v>111.72629274839849</v>
      </c>
      <c r="S38" s="166"/>
      <c r="T38" s="172">
        <f t="shared" si="11"/>
        <v>209.75916100000001</v>
      </c>
      <c r="U38" s="173">
        <f t="shared" si="6"/>
        <v>98.265611637691876</v>
      </c>
      <c r="V38" s="174">
        <f t="shared" si="7"/>
        <v>29.479683491307561</v>
      </c>
      <c r="W38" s="166" t="str">
        <f t="shared" si="8"/>
        <v/>
      </c>
      <c r="X38" s="166" t="str">
        <f>IF(X37-0.01&lt;0,"0",X37-0.01)</f>
        <v>0</v>
      </c>
      <c r="Y38" s="175">
        <f t="shared" si="13"/>
        <v>5.8959366982615125</v>
      </c>
      <c r="Z38" s="176">
        <f t="shared" si="9"/>
        <v>29.479683491307561</v>
      </c>
      <c r="AC38" s="185" t="s">
        <v>37</v>
      </c>
      <c r="AD38" s="181">
        <v>224147889214</v>
      </c>
      <c r="AE38" s="181">
        <v>45160422034</v>
      </c>
      <c r="AF38" s="181">
        <v>59949750</v>
      </c>
      <c r="AG38" s="181">
        <v>0</v>
      </c>
      <c r="AH38" s="182">
        <v>269368260998</v>
      </c>
      <c r="AI38" s="181">
        <v>225184337831</v>
      </c>
      <c r="AJ38" s="181">
        <v>43041349343</v>
      </c>
      <c r="AK38" s="181">
        <v>46503719</v>
      </c>
      <c r="AL38" s="181">
        <v>0</v>
      </c>
      <c r="AM38" s="183">
        <v>268272190893</v>
      </c>
      <c r="AN38" s="184">
        <f t="shared" si="14"/>
        <v>43087853062</v>
      </c>
      <c r="AO38" s="184">
        <f t="shared" si="15"/>
        <v>45220371784</v>
      </c>
    </row>
    <row r="39" spans="1:44" ht="17.25" thickBot="1">
      <c r="A39" s="610"/>
      <c r="B39" s="246">
        <v>4</v>
      </c>
      <c r="C39" s="247" t="s">
        <v>173</v>
      </c>
      <c r="D39" s="188">
        <v>138961</v>
      </c>
      <c r="E39" s="188">
        <v>145495.31521100001</v>
      </c>
      <c r="F39" s="189">
        <f t="shared" si="0"/>
        <v>144198.661941</v>
      </c>
      <c r="G39" s="248">
        <f t="shared" si="1"/>
        <v>99.10880067298416</v>
      </c>
      <c r="H39" s="191"/>
      <c r="I39" s="249">
        <f t="shared" si="2"/>
        <v>103.76915964982982</v>
      </c>
      <c r="J39" s="250">
        <f t="shared" si="3"/>
        <v>4</v>
      </c>
      <c r="K39" s="251">
        <f t="shared" si="4"/>
        <v>10</v>
      </c>
      <c r="L39" s="152">
        <v>4</v>
      </c>
      <c r="M39" s="252" t="s">
        <v>170</v>
      </c>
      <c r="N39" s="196">
        <v>20863</v>
      </c>
      <c r="O39" s="197">
        <v>19195.938585</v>
      </c>
      <c r="P39" s="198">
        <f t="shared" si="10"/>
        <v>20303.624392999998</v>
      </c>
      <c r="Q39" s="191"/>
      <c r="R39" s="190">
        <f t="shared" si="5"/>
        <v>105.77041754481108</v>
      </c>
      <c r="S39" s="191"/>
      <c r="T39" s="199">
        <f t="shared" si="11"/>
        <v>68.924364999999995</v>
      </c>
      <c r="U39" s="200">
        <f t="shared" si="6"/>
        <v>97.318815093706561</v>
      </c>
      <c r="V39" s="201">
        <f t="shared" si="7"/>
        <v>29.195644528111966</v>
      </c>
      <c r="W39" s="191" t="str">
        <f t="shared" si="8"/>
        <v/>
      </c>
      <c r="X39" s="191" t="str">
        <f>IF(X38-0.01&lt;0,"0",X38-0.01)</f>
        <v>0</v>
      </c>
      <c r="Y39" s="202">
        <f t="shared" si="13"/>
        <v>5.8391289056223936</v>
      </c>
      <c r="Z39" s="203">
        <f t="shared" si="9"/>
        <v>29.195644528111966</v>
      </c>
      <c r="AC39" s="185" t="s">
        <v>38</v>
      </c>
      <c r="AD39" s="181">
        <v>378511348636</v>
      </c>
      <c r="AE39" s="181">
        <v>79729267587</v>
      </c>
      <c r="AF39" s="181">
        <v>4065366042</v>
      </c>
      <c r="AG39" s="181">
        <v>0</v>
      </c>
      <c r="AH39" s="182">
        <v>462305982265</v>
      </c>
      <c r="AI39" s="181">
        <v>374268079971</v>
      </c>
      <c r="AJ39" s="181">
        <v>73344909207</v>
      </c>
      <c r="AK39" s="181">
        <v>4780223544</v>
      </c>
      <c r="AL39" s="181">
        <v>0</v>
      </c>
      <c r="AM39" s="183">
        <v>452393212722</v>
      </c>
      <c r="AN39" s="184">
        <f t="shared" si="14"/>
        <v>78125132751</v>
      </c>
      <c r="AO39" s="184">
        <f t="shared" si="15"/>
        <v>83794633629</v>
      </c>
    </row>
    <row r="40" spans="1:44">
      <c r="A40" s="611" t="s">
        <v>175</v>
      </c>
      <c r="B40" s="253">
        <v>5</v>
      </c>
      <c r="C40" s="254" t="s">
        <v>176</v>
      </c>
      <c r="D40" s="145">
        <v>33147</v>
      </c>
      <c r="E40" s="145">
        <v>33637.785796999997</v>
      </c>
      <c r="F40" s="146">
        <f t="shared" si="0"/>
        <v>36338.038419999997</v>
      </c>
      <c r="G40" s="147">
        <f t="shared" si="1"/>
        <v>108.02743866464844</v>
      </c>
      <c r="H40" s="148"/>
      <c r="I40" s="149">
        <f t="shared" si="2"/>
        <v>109.62692979756839</v>
      </c>
      <c r="J40" s="150">
        <f t="shared" si="3"/>
        <v>4</v>
      </c>
      <c r="K40" s="151">
        <f t="shared" si="4"/>
        <v>10</v>
      </c>
      <c r="L40" s="255">
        <v>5</v>
      </c>
      <c r="M40" s="256" t="s">
        <v>177</v>
      </c>
      <c r="N40" s="257">
        <v>21185</v>
      </c>
      <c r="O40" s="258">
        <v>19127.389554000001</v>
      </c>
      <c r="P40" s="155">
        <f t="shared" si="10"/>
        <v>21572.060154999999</v>
      </c>
      <c r="Q40" s="259"/>
      <c r="R40" s="165">
        <f t="shared" si="5"/>
        <v>112.7809944692048</v>
      </c>
      <c r="S40" s="259"/>
      <c r="T40" s="198">
        <f t="shared" si="11"/>
        <v>-131.90756400000001</v>
      </c>
      <c r="U40" s="173">
        <f t="shared" si="6"/>
        <v>101.82704817087561</v>
      </c>
      <c r="V40" s="260">
        <f t="shared" si="7"/>
        <v>30</v>
      </c>
      <c r="W40" s="259" t="str">
        <f t="shared" si="8"/>
        <v>0</v>
      </c>
      <c r="X40" s="259">
        <f>COUNTIF(W40:W45,"0")*0.01</f>
        <v>0.01</v>
      </c>
      <c r="Y40" s="159">
        <f t="shared" si="13"/>
        <v>6.0033000000000003</v>
      </c>
      <c r="Z40" s="261">
        <f t="shared" si="9"/>
        <v>30.01</v>
      </c>
      <c r="AC40" s="185" t="s">
        <v>40</v>
      </c>
      <c r="AD40" s="181">
        <v>802148888664</v>
      </c>
      <c r="AE40" s="181">
        <v>82261787642</v>
      </c>
      <c r="AF40" s="181">
        <v>0</v>
      </c>
      <c r="AG40" s="181">
        <v>0</v>
      </c>
      <c r="AH40" s="182">
        <v>884410676306</v>
      </c>
      <c r="AI40" s="181">
        <v>725775114058</v>
      </c>
      <c r="AJ40" s="181">
        <v>78883320809</v>
      </c>
      <c r="AK40" s="181">
        <v>0</v>
      </c>
      <c r="AL40" s="181">
        <v>0</v>
      </c>
      <c r="AM40" s="183">
        <v>804658434867</v>
      </c>
      <c r="AN40" s="184">
        <f t="shared" si="14"/>
        <v>78883320809</v>
      </c>
      <c r="AO40" s="184">
        <f t="shared" si="15"/>
        <v>82261787642</v>
      </c>
    </row>
    <row r="41" spans="1:44">
      <c r="A41" s="612"/>
      <c r="B41" s="262">
        <v>5</v>
      </c>
      <c r="C41" s="256" t="s">
        <v>178</v>
      </c>
      <c r="D41" s="163">
        <v>64326</v>
      </c>
      <c r="E41" s="163">
        <v>65387.163312999997</v>
      </c>
      <c r="F41" s="164">
        <f t="shared" si="0"/>
        <v>68152.834631000005</v>
      </c>
      <c r="G41" s="165">
        <f t="shared" si="1"/>
        <v>104.22968542733854</v>
      </c>
      <c r="H41" s="259"/>
      <c r="I41" s="167">
        <f t="shared" si="2"/>
        <v>105.9491257516401</v>
      </c>
      <c r="J41" s="168">
        <f t="shared" si="3"/>
        <v>4</v>
      </c>
      <c r="K41" s="169">
        <f t="shared" si="4"/>
        <v>10</v>
      </c>
      <c r="L41" s="255">
        <v>5</v>
      </c>
      <c r="M41" s="256" t="s">
        <v>178</v>
      </c>
      <c r="N41" s="171">
        <v>18598</v>
      </c>
      <c r="O41" s="163">
        <v>16437.426132000001</v>
      </c>
      <c r="P41" s="172">
        <f t="shared" si="10"/>
        <v>18511.132745999999</v>
      </c>
      <c r="Q41" s="166"/>
      <c r="R41" s="165">
        <f t="shared" si="5"/>
        <v>112.61576233010686</v>
      </c>
      <c r="S41" s="166"/>
      <c r="T41" s="172">
        <f t="shared" si="11"/>
        <v>20.288619000000001</v>
      </c>
      <c r="U41" s="173">
        <f t="shared" si="6"/>
        <v>99.532921529196685</v>
      </c>
      <c r="V41" s="174">
        <f t="shared" si="7"/>
        <v>29.859876458759004</v>
      </c>
      <c r="W41" s="166" t="str">
        <f t="shared" si="8"/>
        <v/>
      </c>
      <c r="X41" s="166">
        <f>IF(X40-0.01&lt;0,"0",X40-0.01)</f>
        <v>0</v>
      </c>
      <c r="Y41" s="175">
        <f t="shared" si="13"/>
        <v>5.971975291751801</v>
      </c>
      <c r="Z41" s="176">
        <f t="shared" si="9"/>
        <v>29.859876458759004</v>
      </c>
      <c r="AC41" s="185" t="s">
        <v>43</v>
      </c>
      <c r="AD41" s="181">
        <v>270527485376</v>
      </c>
      <c r="AE41" s="181">
        <v>57906552166</v>
      </c>
      <c r="AF41" s="181">
        <v>0</v>
      </c>
      <c r="AG41" s="181">
        <v>0</v>
      </c>
      <c r="AH41" s="182">
        <v>328434037542</v>
      </c>
      <c r="AI41" s="181">
        <v>263878952471</v>
      </c>
      <c r="AJ41" s="181">
        <v>54749740363</v>
      </c>
      <c r="AK41" s="181">
        <v>0</v>
      </c>
      <c r="AL41" s="181">
        <v>0</v>
      </c>
      <c r="AM41" s="183">
        <v>318628692834</v>
      </c>
      <c r="AN41" s="184">
        <f t="shared" si="14"/>
        <v>54749740363</v>
      </c>
      <c r="AO41" s="184">
        <f t="shared" si="15"/>
        <v>57906552166</v>
      </c>
    </row>
    <row r="42" spans="1:44">
      <c r="A42" s="612"/>
      <c r="B42" s="263">
        <v>5</v>
      </c>
      <c r="C42" s="264" t="s">
        <v>179</v>
      </c>
      <c r="D42" s="163">
        <v>98016</v>
      </c>
      <c r="E42" s="163">
        <v>103299.933781</v>
      </c>
      <c r="F42" s="164">
        <f t="shared" si="0"/>
        <v>101580.36300100001</v>
      </c>
      <c r="G42" s="165">
        <f t="shared" si="1"/>
        <v>98.335361198153763</v>
      </c>
      <c r="H42" s="166"/>
      <c r="I42" s="167">
        <f t="shared" si="2"/>
        <v>103.63651138691642</v>
      </c>
      <c r="J42" s="168">
        <f t="shared" si="3"/>
        <v>4</v>
      </c>
      <c r="K42" s="169">
        <f t="shared" si="4"/>
        <v>10</v>
      </c>
      <c r="L42" s="255">
        <v>5</v>
      </c>
      <c r="M42" s="264" t="s">
        <v>179</v>
      </c>
      <c r="N42" s="171">
        <v>20444</v>
      </c>
      <c r="O42" s="163">
        <v>19163.534223999999</v>
      </c>
      <c r="P42" s="172">
        <f t="shared" si="10"/>
        <v>20040.048232000001</v>
      </c>
      <c r="Q42" s="166"/>
      <c r="R42" s="165">
        <f t="shared" si="5"/>
        <v>104.57386407827777</v>
      </c>
      <c r="S42" s="166"/>
      <c r="T42" s="172">
        <f t="shared" si="11"/>
        <v>-129.92247599999999</v>
      </c>
      <c r="U42" s="173">
        <f t="shared" si="6"/>
        <v>98.024106006652318</v>
      </c>
      <c r="V42" s="174">
        <f t="shared" si="7"/>
        <v>29.407231801995692</v>
      </c>
      <c r="W42" s="166" t="str">
        <f t="shared" si="8"/>
        <v/>
      </c>
      <c r="X42" s="166" t="str">
        <f>IF(X41-0.01&lt;0,"0",X41-0.01)</f>
        <v>0</v>
      </c>
      <c r="Y42" s="175">
        <f t="shared" si="13"/>
        <v>5.8814463603991385</v>
      </c>
      <c r="Z42" s="176">
        <f t="shared" si="9"/>
        <v>29.407231801995692</v>
      </c>
      <c r="AC42" s="185" t="s">
        <v>29</v>
      </c>
      <c r="AD42" s="181">
        <v>183670519650</v>
      </c>
      <c r="AE42" s="181">
        <v>56625335655</v>
      </c>
      <c r="AF42" s="181">
        <v>61358239</v>
      </c>
      <c r="AG42" s="181">
        <v>0</v>
      </c>
      <c r="AH42" s="182">
        <v>240357213544</v>
      </c>
      <c r="AI42" s="181">
        <v>184801381626</v>
      </c>
      <c r="AJ42" s="181">
        <v>56694874260</v>
      </c>
      <c r="AK42" s="181">
        <v>41701961</v>
      </c>
      <c r="AL42" s="181">
        <v>0</v>
      </c>
      <c r="AM42" s="183">
        <v>241537957847</v>
      </c>
      <c r="AN42" s="184">
        <f t="shared" si="14"/>
        <v>56736576221</v>
      </c>
      <c r="AO42" s="184">
        <f t="shared" si="15"/>
        <v>56686693894</v>
      </c>
    </row>
    <row r="43" spans="1:44">
      <c r="A43" s="612"/>
      <c r="B43" s="262">
        <v>5</v>
      </c>
      <c r="C43" s="264" t="s">
        <v>180</v>
      </c>
      <c r="D43" s="163">
        <v>63569</v>
      </c>
      <c r="E43" s="163">
        <v>65381.801897999998</v>
      </c>
      <c r="F43" s="164">
        <f t="shared" si="0"/>
        <v>65792.214259999993</v>
      </c>
      <c r="G43" s="165">
        <f t="shared" si="1"/>
        <v>100.62771650533624</v>
      </c>
      <c r="H43" s="166"/>
      <c r="I43" s="167">
        <f t="shared" si="2"/>
        <v>103.49732457644447</v>
      </c>
      <c r="J43" s="168">
        <f t="shared" si="3"/>
        <v>4</v>
      </c>
      <c r="K43" s="169">
        <f t="shared" si="4"/>
        <v>10</v>
      </c>
      <c r="L43" s="255">
        <v>5</v>
      </c>
      <c r="M43" s="264" t="s">
        <v>180</v>
      </c>
      <c r="N43" s="171">
        <v>20737</v>
      </c>
      <c r="O43" s="163">
        <v>18986.131118000001</v>
      </c>
      <c r="P43" s="172">
        <f t="shared" si="10"/>
        <v>20216.477986000002</v>
      </c>
      <c r="Q43" s="166"/>
      <c r="R43" s="165">
        <f t="shared" si="5"/>
        <v>106.48024002548659</v>
      </c>
      <c r="S43" s="166"/>
      <c r="T43" s="172">
        <f t="shared" si="11"/>
        <v>-564.93253500000003</v>
      </c>
      <c r="U43" s="173">
        <f t="shared" si="6"/>
        <v>97.489887572937263</v>
      </c>
      <c r="V43" s="174">
        <f t="shared" si="7"/>
        <v>29.246966271881178</v>
      </c>
      <c r="W43" s="166" t="str">
        <f t="shared" si="8"/>
        <v/>
      </c>
      <c r="X43" s="166" t="str">
        <f>IF(X42-0.01&lt;0,"0",X42-0.01)</f>
        <v>0</v>
      </c>
      <c r="Y43" s="175">
        <f t="shared" si="13"/>
        <v>5.8493932543762357</v>
      </c>
      <c r="Z43" s="176">
        <f t="shared" si="9"/>
        <v>29.246966271881178</v>
      </c>
      <c r="AC43" s="185" t="s">
        <v>41</v>
      </c>
      <c r="AD43" s="181">
        <v>360705636130</v>
      </c>
      <c r="AE43" s="181">
        <v>111509921000</v>
      </c>
      <c r="AF43" s="181">
        <v>0</v>
      </c>
      <c r="AG43" s="181">
        <v>557755</v>
      </c>
      <c r="AH43" s="182">
        <v>472216114885</v>
      </c>
      <c r="AI43" s="181">
        <v>356656216606</v>
      </c>
      <c r="AJ43" s="181">
        <v>105214968077</v>
      </c>
      <c r="AK43" s="181">
        <v>0</v>
      </c>
      <c r="AL43" s="181">
        <v>532558</v>
      </c>
      <c r="AM43" s="183">
        <v>461871717241</v>
      </c>
      <c r="AN43" s="184">
        <f t="shared" si="14"/>
        <v>105215500635</v>
      </c>
      <c r="AO43" s="184">
        <f t="shared" si="15"/>
        <v>111510478755</v>
      </c>
    </row>
    <row r="44" spans="1:44">
      <c r="A44" s="612"/>
      <c r="B44" s="263">
        <v>5</v>
      </c>
      <c r="C44" s="264" t="s">
        <v>181</v>
      </c>
      <c r="D44" s="163">
        <v>101589</v>
      </c>
      <c r="E44" s="163">
        <v>106020.89477499999</v>
      </c>
      <c r="F44" s="164">
        <f t="shared" si="0"/>
        <v>103812.895831</v>
      </c>
      <c r="G44" s="165">
        <f t="shared" si="1"/>
        <v>97.917392652942752</v>
      </c>
      <c r="H44" s="166"/>
      <c r="I44" s="167">
        <f t="shared" si="2"/>
        <v>102.18911085944345</v>
      </c>
      <c r="J44" s="168">
        <f t="shared" si="3"/>
        <v>4</v>
      </c>
      <c r="K44" s="169">
        <f t="shared" si="4"/>
        <v>10</v>
      </c>
      <c r="L44" s="255">
        <v>5</v>
      </c>
      <c r="M44" s="264" t="s">
        <v>176</v>
      </c>
      <c r="N44" s="171">
        <v>7812</v>
      </c>
      <c r="O44" s="163">
        <v>6616.9259080000002</v>
      </c>
      <c r="P44" s="172">
        <f t="shared" si="10"/>
        <v>7582.5077940000001</v>
      </c>
      <c r="Q44" s="166"/>
      <c r="R44" s="165">
        <f t="shared" si="5"/>
        <v>114.59260537937399</v>
      </c>
      <c r="S44" s="166"/>
      <c r="T44" s="172">
        <f t="shared" si="11"/>
        <v>-64.961460000000002</v>
      </c>
      <c r="U44" s="173">
        <f t="shared" si="6"/>
        <v>97.062311751152066</v>
      </c>
      <c r="V44" s="174">
        <f t="shared" si="7"/>
        <v>29.11869352534562</v>
      </c>
      <c r="W44" s="166" t="str">
        <f t="shared" si="8"/>
        <v/>
      </c>
      <c r="X44" s="166" t="str">
        <f>IF(X43-0.01&lt;0,"0",X43-0.01)</f>
        <v>0</v>
      </c>
      <c r="Y44" s="175">
        <f t="shared" si="13"/>
        <v>5.8237387050691236</v>
      </c>
      <c r="Z44" s="176">
        <f t="shared" si="9"/>
        <v>29.11869352534562</v>
      </c>
      <c r="AC44" s="185" t="s">
        <v>44</v>
      </c>
      <c r="AD44" s="181">
        <v>214994379020</v>
      </c>
      <c r="AE44" s="181">
        <v>51283068929</v>
      </c>
      <c r="AF44" s="181">
        <v>0</v>
      </c>
      <c r="AG44" s="181">
        <v>0</v>
      </c>
      <c r="AH44" s="182">
        <v>266277447949</v>
      </c>
      <c r="AI44" s="181">
        <v>212720630338</v>
      </c>
      <c r="AJ44" s="181">
        <v>48725054068</v>
      </c>
      <c r="AK44" s="181">
        <v>0</v>
      </c>
      <c r="AL44" s="181">
        <v>0</v>
      </c>
      <c r="AM44" s="183">
        <v>261445684406</v>
      </c>
      <c r="AN44" s="184">
        <f t="shared" si="14"/>
        <v>48725054068</v>
      </c>
      <c r="AO44" s="184">
        <f t="shared" si="15"/>
        <v>51283068929</v>
      </c>
    </row>
    <row r="45" spans="1:44" ht="17.25" thickBot="1">
      <c r="A45" s="612"/>
      <c r="B45" s="265">
        <v>5</v>
      </c>
      <c r="C45" s="266" t="s">
        <v>177</v>
      </c>
      <c r="D45" s="258">
        <v>94709</v>
      </c>
      <c r="E45" s="258">
        <v>101132.91598600001</v>
      </c>
      <c r="F45" s="267">
        <f t="shared" si="0"/>
        <v>96701.369227999996</v>
      </c>
      <c r="G45" s="268">
        <f t="shared" si="1"/>
        <v>95.618096526937407</v>
      </c>
      <c r="H45" s="269"/>
      <c r="I45" s="270">
        <f t="shared" si="2"/>
        <v>102.10367465393996</v>
      </c>
      <c r="J45" s="271">
        <f t="shared" si="3"/>
        <v>4</v>
      </c>
      <c r="K45" s="272">
        <f t="shared" si="4"/>
        <v>10</v>
      </c>
      <c r="L45" s="255">
        <v>5</v>
      </c>
      <c r="M45" s="266" t="s">
        <v>181</v>
      </c>
      <c r="N45" s="257">
        <v>25162</v>
      </c>
      <c r="O45" s="258">
        <v>22220.114880000001</v>
      </c>
      <c r="P45" s="198">
        <f t="shared" si="10"/>
        <v>23268.551044</v>
      </c>
      <c r="Q45" s="269"/>
      <c r="R45" s="268">
        <f t="shared" si="5"/>
        <v>104.71841018672536</v>
      </c>
      <c r="S45" s="269"/>
      <c r="T45" s="273">
        <f t="shared" si="11"/>
        <v>42.869033999999999</v>
      </c>
      <c r="U45" s="274">
        <f t="shared" si="6"/>
        <v>92.474966393768383</v>
      </c>
      <c r="V45" s="275">
        <f t="shared" si="7"/>
        <v>27.742489918130513</v>
      </c>
      <c r="W45" s="276" t="str">
        <f t="shared" si="8"/>
        <v/>
      </c>
      <c r="X45" s="276" t="str">
        <f>IF(X44-0.01&lt;0,"0",X44-0.01)</f>
        <v>0</v>
      </c>
      <c r="Y45" s="202">
        <f t="shared" si="13"/>
        <v>5.5484979836261026</v>
      </c>
      <c r="Z45" s="277">
        <f t="shared" si="9"/>
        <v>27.742489918130513</v>
      </c>
      <c r="AC45" s="185" t="s">
        <v>30</v>
      </c>
      <c r="AD45" s="181">
        <v>137323918301</v>
      </c>
      <c r="AE45" s="181">
        <v>40082178735</v>
      </c>
      <c r="AF45" s="181">
        <v>71773062</v>
      </c>
      <c r="AG45" s="181">
        <v>0</v>
      </c>
      <c r="AH45" s="182">
        <v>177477870098</v>
      </c>
      <c r="AI45" s="181">
        <v>134935799364</v>
      </c>
      <c r="AJ45" s="181">
        <v>38130570341</v>
      </c>
      <c r="AK45" s="181">
        <v>49190746</v>
      </c>
      <c r="AL45" s="181">
        <v>0</v>
      </c>
      <c r="AM45" s="183">
        <v>173115560451</v>
      </c>
      <c r="AN45" s="184">
        <f t="shared" si="14"/>
        <v>38179761087</v>
      </c>
      <c r="AO45" s="184">
        <f t="shared" si="15"/>
        <v>40153951797</v>
      </c>
    </row>
    <row r="46" spans="1:44" ht="17.25" thickBot="1">
      <c r="A46" s="278"/>
      <c r="B46" s="279"/>
      <c r="C46" s="280" t="s">
        <v>182</v>
      </c>
      <c r="D46" s="281">
        <f>SUM(D6:D45)</f>
        <v>8705900</v>
      </c>
      <c r="E46" s="281">
        <f>SUM(E6:E45)</f>
        <v>8984412.7442699969</v>
      </c>
      <c r="F46" s="281">
        <f>SUM(F6:F45)</f>
        <v>9305653.3153460007</v>
      </c>
      <c r="G46" s="282">
        <f t="shared" si="1"/>
        <v>103.57553220471624</v>
      </c>
      <c r="H46" s="283"/>
      <c r="I46" s="282">
        <f t="shared" si="2"/>
        <v>106.88904438766814</v>
      </c>
      <c r="J46" s="284"/>
      <c r="K46" s="285"/>
      <c r="L46" s="286"/>
      <c r="M46" s="287" t="s">
        <v>182</v>
      </c>
      <c r="N46" s="288">
        <f>SUM(N6:N45)</f>
        <v>1943900</v>
      </c>
      <c r="O46" s="288">
        <f>SUM(O6:O45)</f>
        <v>1793997.5175550003</v>
      </c>
      <c r="P46" s="288">
        <v>1944954</v>
      </c>
      <c r="Q46" s="289"/>
      <c r="R46" s="290">
        <f t="shared" si="5"/>
        <v>108.41453128935957</v>
      </c>
      <c r="S46" s="289"/>
      <c r="T46" s="291">
        <f t="shared" si="11"/>
        <v>2979.470288</v>
      </c>
      <c r="U46" s="290">
        <f t="shared" si="6"/>
        <v>100.05422089613663</v>
      </c>
      <c r="V46" s="289"/>
      <c r="W46" s="289"/>
      <c r="X46" s="289"/>
      <c r="Y46" s="289"/>
      <c r="Z46" s="292"/>
      <c r="AC46" s="185" t="s">
        <v>47</v>
      </c>
      <c r="AD46" s="181">
        <v>268715174330</v>
      </c>
      <c r="AE46" s="181">
        <v>44113425349</v>
      </c>
      <c r="AF46" s="181">
        <v>50909830</v>
      </c>
      <c r="AG46" s="181">
        <v>0</v>
      </c>
      <c r="AH46" s="182">
        <v>312879509509</v>
      </c>
      <c r="AI46" s="181">
        <v>265962671691</v>
      </c>
      <c r="AJ46" s="181">
        <v>38214206808</v>
      </c>
      <c r="AK46" s="181">
        <v>40437455</v>
      </c>
      <c r="AL46" s="181">
        <v>0</v>
      </c>
      <c r="AM46" s="183">
        <v>304217315954</v>
      </c>
      <c r="AN46" s="184">
        <f t="shared" si="14"/>
        <v>38254644263</v>
      </c>
      <c r="AO46" s="184">
        <f t="shared" si="15"/>
        <v>44164335179</v>
      </c>
    </row>
    <row r="47" spans="1:44">
      <c r="AC47" s="185" t="s">
        <v>48</v>
      </c>
      <c r="AD47" s="181">
        <v>116762674024</v>
      </c>
      <c r="AE47" s="181">
        <v>37020511179</v>
      </c>
      <c r="AF47" s="181">
        <v>0</v>
      </c>
      <c r="AG47" s="181">
        <v>0</v>
      </c>
      <c r="AH47" s="182">
        <v>153783185203</v>
      </c>
      <c r="AI47" s="181">
        <v>117107683647</v>
      </c>
      <c r="AJ47" s="181">
        <v>35712409794</v>
      </c>
      <c r="AK47" s="181">
        <v>0</v>
      </c>
      <c r="AL47" s="181">
        <v>0</v>
      </c>
      <c r="AM47" s="183">
        <v>152820093441</v>
      </c>
      <c r="AN47" s="184">
        <f t="shared" si="14"/>
        <v>35712409794</v>
      </c>
      <c r="AO47" s="184">
        <f t="shared" si="15"/>
        <v>37020511179</v>
      </c>
    </row>
    <row r="48" spans="1:44">
      <c r="M48" s="613" t="s">
        <v>113</v>
      </c>
      <c r="N48" s="613" t="s">
        <v>114</v>
      </c>
      <c r="O48" s="613"/>
      <c r="P48" s="613"/>
      <c r="Q48" s="613"/>
      <c r="R48" s="613"/>
      <c r="S48" s="613"/>
      <c r="T48" s="613"/>
      <c r="U48" s="613"/>
      <c r="V48" s="293"/>
      <c r="W48" s="293"/>
      <c r="X48" s="293"/>
      <c r="Z48" s="294"/>
      <c r="AA48" s="182"/>
      <c r="AB48" s="182"/>
      <c r="AC48" s="185" t="s">
        <v>51</v>
      </c>
      <c r="AD48" s="181">
        <v>171814314818</v>
      </c>
      <c r="AE48" s="181">
        <v>53595291459</v>
      </c>
      <c r="AF48" s="181">
        <v>0</v>
      </c>
      <c r="AG48" s="181">
        <v>0</v>
      </c>
      <c r="AH48" s="182">
        <v>225409606277</v>
      </c>
      <c r="AI48" s="181">
        <v>167004775559</v>
      </c>
      <c r="AJ48" s="181">
        <v>51192368635</v>
      </c>
      <c r="AK48" s="181">
        <v>0</v>
      </c>
      <c r="AL48" s="181">
        <v>0</v>
      </c>
      <c r="AM48" s="183">
        <v>218197144194</v>
      </c>
      <c r="AN48" s="184">
        <f t="shared" si="14"/>
        <v>51192368635</v>
      </c>
      <c r="AO48" s="184">
        <f t="shared" si="15"/>
        <v>53595291459</v>
      </c>
    </row>
    <row r="49" spans="12:41" ht="17.25" thickBot="1">
      <c r="M49" s="614"/>
      <c r="N49" s="139" t="s">
        <v>13</v>
      </c>
      <c r="O49" s="139" t="s">
        <v>122</v>
      </c>
      <c r="P49" s="139" t="s">
        <v>15</v>
      </c>
      <c r="Q49" s="139" t="s">
        <v>183</v>
      </c>
      <c r="R49" s="139" t="s">
        <v>126</v>
      </c>
      <c r="S49" s="140" t="s">
        <v>184</v>
      </c>
      <c r="T49" s="139" t="s">
        <v>120</v>
      </c>
      <c r="U49" s="139"/>
      <c r="V49" s="295"/>
      <c r="W49" s="296"/>
      <c r="X49" s="296"/>
      <c r="Z49" s="294"/>
      <c r="AA49" s="182"/>
      <c r="AB49" s="182"/>
      <c r="AC49" s="182" t="s">
        <v>182</v>
      </c>
      <c r="AD49" s="182">
        <v>7461806820251</v>
      </c>
      <c r="AE49" s="182">
        <v>2023098525654</v>
      </c>
      <c r="AF49" s="182">
        <v>5159061101</v>
      </c>
      <c r="AG49" s="182">
        <v>814356</v>
      </c>
      <c r="AH49" s="182">
        <v>9490065221362</v>
      </c>
      <c r="AI49" s="182">
        <v>7364399205796</v>
      </c>
      <c r="AJ49" s="182">
        <v>1935565145295</v>
      </c>
      <c r="AK49" s="182">
        <v>5687516007</v>
      </c>
      <c r="AL49" s="182">
        <v>1448248</v>
      </c>
      <c r="AM49" s="183">
        <v>9305653315346</v>
      </c>
      <c r="AN49" s="184">
        <f t="shared" si="14"/>
        <v>1941254109550</v>
      </c>
      <c r="AO49" s="184">
        <f t="shared" si="15"/>
        <v>2028258401111</v>
      </c>
    </row>
    <row r="50" spans="12:41">
      <c r="L50" s="1">
        <v>1</v>
      </c>
      <c r="M50" s="297" t="s">
        <v>40</v>
      </c>
      <c r="N50" s="298">
        <v>70406</v>
      </c>
      <c r="O50" s="298">
        <f>VLOOKUP(M50,$AC$8:$AO$49,12,FALSE)/1000000</f>
        <v>78883.320808999997</v>
      </c>
      <c r="P50" s="299">
        <f t="shared" ref="P50:P89" si="18">O50/N50%</f>
        <v>112.04062268698691</v>
      </c>
      <c r="Q50" s="300">
        <f t="shared" ref="Q50:Q89" si="19">IF(P50&gt;=100,6,P50*0.06)</f>
        <v>6</v>
      </c>
      <c r="R50" s="147" t="str">
        <f t="shared" ref="R50:R89" si="20">IF(P50&gt;100,"0","")</f>
        <v>0</v>
      </c>
      <c r="S50" s="148">
        <f>COUNTIF(R50:R77,"0")*0.0033</f>
        <v>3.9599999999999996E-2</v>
      </c>
      <c r="T50" s="301">
        <f>Q50+S50</f>
        <v>6.0396000000000001</v>
      </c>
      <c r="U50" s="302"/>
      <c r="V50" s="303"/>
      <c r="W50" s="303"/>
      <c r="X50" s="303"/>
      <c r="AD50" s="182">
        <v>7461806820251</v>
      </c>
      <c r="AE50" s="182">
        <v>2023098525654</v>
      </c>
      <c r="AF50" s="182">
        <v>5159061101</v>
      </c>
      <c r="AG50" s="182">
        <v>814356</v>
      </c>
      <c r="AH50" s="182">
        <v>9490065221362</v>
      </c>
      <c r="AI50" s="182">
        <v>7364399205796</v>
      </c>
      <c r="AJ50" s="182">
        <v>1935565145295</v>
      </c>
      <c r="AK50" s="182">
        <v>5687516007</v>
      </c>
      <c r="AL50" s="182">
        <v>1448248</v>
      </c>
      <c r="AM50" s="183">
        <v>9305653315346</v>
      </c>
    </row>
    <row r="51" spans="12:41">
      <c r="L51" s="1">
        <v>1</v>
      </c>
      <c r="M51" s="304" t="s">
        <v>47</v>
      </c>
      <c r="N51" s="163">
        <v>35050</v>
      </c>
      <c r="O51" s="163">
        <f>VLOOKUP(M51,$AC$8:$AO$49,12,FALSE)/1000000</f>
        <v>38254.644263000002</v>
      </c>
      <c r="P51" s="305">
        <f t="shared" si="18"/>
        <v>109.14306494436519</v>
      </c>
      <c r="Q51" s="306">
        <f t="shared" si="19"/>
        <v>6</v>
      </c>
      <c r="R51" s="241" t="str">
        <f t="shared" si="20"/>
        <v>0</v>
      </c>
      <c r="S51" s="166">
        <f t="shared" ref="S51:S77" si="21">IF(S50-0.0033&lt;0,"0",S50-0.0033)</f>
        <v>3.6299999999999999E-2</v>
      </c>
      <c r="T51" s="307">
        <f t="shared" ref="T51:T89" si="22">Q51+S51</f>
        <v>6.0362999999999998</v>
      </c>
      <c r="U51" s="308"/>
      <c r="V51" s="303"/>
      <c r="W51" s="303"/>
      <c r="X51" s="303"/>
    </row>
    <row r="52" spans="12:41">
      <c r="L52" s="1">
        <v>1</v>
      </c>
      <c r="M52" s="304" t="s">
        <v>43</v>
      </c>
      <c r="N52" s="163">
        <v>50574</v>
      </c>
      <c r="O52" s="163">
        <f>VLOOKUP(M52,$AC$8:$AO$49,12,FALSE)/1000000</f>
        <v>54749.740362999997</v>
      </c>
      <c r="P52" s="305">
        <f t="shared" si="18"/>
        <v>108.25669388025467</v>
      </c>
      <c r="Q52" s="306">
        <f t="shared" si="19"/>
        <v>6</v>
      </c>
      <c r="R52" s="241" t="str">
        <f t="shared" si="20"/>
        <v>0</v>
      </c>
      <c r="S52" s="166">
        <f t="shared" si="21"/>
        <v>3.3000000000000002E-2</v>
      </c>
      <c r="T52" s="307">
        <f t="shared" si="22"/>
        <v>6.0330000000000004</v>
      </c>
      <c r="U52" s="308"/>
      <c r="V52" s="303"/>
      <c r="W52" s="303"/>
      <c r="X52" s="303"/>
      <c r="AC52" s="1" t="s">
        <v>185</v>
      </c>
    </row>
    <row r="53" spans="12:41">
      <c r="L53" s="1">
        <v>1</v>
      </c>
      <c r="M53" s="304" t="s">
        <v>31</v>
      </c>
      <c r="N53" s="163">
        <v>119184</v>
      </c>
      <c r="O53" s="163">
        <f>VLOOKUP(M53,$M$6:$Z$45,4,FALSE)</f>
        <v>127936.348378</v>
      </c>
      <c r="P53" s="305">
        <f t="shared" si="18"/>
        <v>107.34355985534971</v>
      </c>
      <c r="Q53" s="306">
        <f t="shared" si="19"/>
        <v>6</v>
      </c>
      <c r="R53" s="241" t="str">
        <f t="shared" si="20"/>
        <v>0</v>
      </c>
      <c r="S53" s="166">
        <f t="shared" si="21"/>
        <v>2.9700000000000001E-2</v>
      </c>
      <c r="T53" s="307">
        <f t="shared" si="22"/>
        <v>6.0297000000000001</v>
      </c>
      <c r="U53" s="308"/>
      <c r="V53" s="303"/>
      <c r="W53" s="303"/>
      <c r="X53" s="303"/>
      <c r="AC53" s="600"/>
      <c r="AD53" s="602" t="s">
        <v>132</v>
      </c>
      <c r="AE53" s="603"/>
      <c r="AF53" s="603"/>
      <c r="AG53" s="603"/>
      <c r="AH53" s="604"/>
      <c r="AI53" s="602" t="s">
        <v>133</v>
      </c>
      <c r="AJ53" s="603"/>
      <c r="AK53" s="603"/>
      <c r="AL53" s="603"/>
      <c r="AM53" s="604"/>
    </row>
    <row r="54" spans="12:41" ht="22.5">
      <c r="L54" s="1">
        <v>1</v>
      </c>
      <c r="M54" s="304" t="s">
        <v>34</v>
      </c>
      <c r="N54" s="163">
        <v>68028</v>
      </c>
      <c r="O54" s="163">
        <f t="shared" ref="O54:O89" si="23">VLOOKUP(M54,$AC$8:$AO$49,12,FALSE)/1000000</f>
        <v>71589.543223000001</v>
      </c>
      <c r="P54" s="305">
        <f t="shared" si="18"/>
        <v>105.23540780707944</v>
      </c>
      <c r="Q54" s="306">
        <f t="shared" si="19"/>
        <v>6</v>
      </c>
      <c r="R54" s="241" t="str">
        <f t="shared" si="20"/>
        <v>0</v>
      </c>
      <c r="S54" s="166">
        <f t="shared" si="21"/>
        <v>2.64E-2</v>
      </c>
      <c r="T54" s="307">
        <f t="shared" si="22"/>
        <v>6.0263999999999998</v>
      </c>
      <c r="U54" s="308"/>
      <c r="V54" s="303"/>
      <c r="W54" s="303"/>
      <c r="X54" s="303"/>
      <c r="AC54" s="601"/>
      <c r="AD54" s="177" t="s">
        <v>135</v>
      </c>
      <c r="AE54" s="177" t="s">
        <v>136</v>
      </c>
      <c r="AF54" s="177" t="s">
        <v>137</v>
      </c>
      <c r="AG54" s="177" t="s">
        <v>138</v>
      </c>
      <c r="AH54" s="178" t="s">
        <v>139</v>
      </c>
      <c r="AI54" s="177" t="s">
        <v>135</v>
      </c>
      <c r="AJ54" s="177" t="s">
        <v>136</v>
      </c>
      <c r="AK54" s="177" t="s">
        <v>137</v>
      </c>
      <c r="AL54" s="177" t="s">
        <v>138</v>
      </c>
      <c r="AM54" s="179" t="s">
        <v>139</v>
      </c>
      <c r="AN54" s="177" t="s">
        <v>140</v>
      </c>
      <c r="AO54" s="177" t="s">
        <v>141</v>
      </c>
    </row>
    <row r="55" spans="12:41">
      <c r="L55" s="1">
        <v>1</v>
      </c>
      <c r="M55" s="304" t="s">
        <v>36</v>
      </c>
      <c r="N55" s="163">
        <v>32723</v>
      </c>
      <c r="O55" s="163">
        <f t="shared" si="23"/>
        <v>33797.532978000003</v>
      </c>
      <c r="P55" s="305">
        <f t="shared" si="18"/>
        <v>103.28372391895608</v>
      </c>
      <c r="Q55" s="306">
        <f t="shared" si="19"/>
        <v>6</v>
      </c>
      <c r="R55" s="241" t="str">
        <f t="shared" si="20"/>
        <v>0</v>
      </c>
      <c r="S55" s="166">
        <f t="shared" si="21"/>
        <v>2.3099999999999999E-2</v>
      </c>
      <c r="T55" s="307">
        <f t="shared" si="22"/>
        <v>6.0231000000000003</v>
      </c>
      <c r="U55" s="308"/>
      <c r="V55" s="303"/>
      <c r="W55" s="303"/>
      <c r="X55" s="303"/>
      <c r="AC55" s="180" t="s">
        <v>49</v>
      </c>
      <c r="AD55" s="181">
        <v>299017309296</v>
      </c>
      <c r="AE55" s="181">
        <v>91077041238</v>
      </c>
      <c r="AF55" s="181">
        <v>0</v>
      </c>
      <c r="AG55" s="181">
        <v>0</v>
      </c>
      <c r="AH55" s="182">
        <v>390094350534</v>
      </c>
      <c r="AI55" s="181">
        <v>300059081792</v>
      </c>
      <c r="AJ55" s="181">
        <v>85753131983</v>
      </c>
      <c r="AK55" s="181">
        <v>0</v>
      </c>
      <c r="AL55" s="181">
        <v>0</v>
      </c>
      <c r="AM55" s="183">
        <v>385812213775</v>
      </c>
      <c r="AN55" s="184">
        <f>AJ55+AK55+AL55</f>
        <v>85753131983</v>
      </c>
      <c r="AO55" s="184">
        <f>AE55+AF55+AG55</f>
        <v>91077041238</v>
      </c>
    </row>
    <row r="56" spans="12:41">
      <c r="L56" s="1">
        <v>1</v>
      </c>
      <c r="M56" s="304" t="s">
        <v>30</v>
      </c>
      <c r="N56" s="163">
        <v>37301</v>
      </c>
      <c r="O56" s="163">
        <f t="shared" si="23"/>
        <v>38179.761086999999</v>
      </c>
      <c r="P56" s="305">
        <f t="shared" si="18"/>
        <v>102.35586468727379</v>
      </c>
      <c r="Q56" s="306">
        <f t="shared" si="19"/>
        <v>6</v>
      </c>
      <c r="R56" s="241" t="str">
        <f t="shared" si="20"/>
        <v>0</v>
      </c>
      <c r="S56" s="166">
        <f t="shared" si="21"/>
        <v>1.9799999999999998E-2</v>
      </c>
      <c r="T56" s="307">
        <f t="shared" si="22"/>
        <v>6.0198</v>
      </c>
      <c r="U56" s="308"/>
      <c r="V56" s="303"/>
      <c r="W56" s="303"/>
      <c r="X56" s="303"/>
      <c r="AC56" s="185" t="s">
        <v>28</v>
      </c>
      <c r="AD56" s="181">
        <v>263262277814</v>
      </c>
      <c r="AE56" s="181">
        <v>68951838046</v>
      </c>
      <c r="AF56" s="181">
        <v>0</v>
      </c>
      <c r="AG56" s="181">
        <v>0</v>
      </c>
      <c r="AH56" s="182">
        <v>332214115860</v>
      </c>
      <c r="AI56" s="181">
        <v>263764292242</v>
      </c>
      <c r="AJ56" s="181">
        <v>68172925173</v>
      </c>
      <c r="AK56" s="181">
        <v>0</v>
      </c>
      <c r="AL56" s="181">
        <v>0</v>
      </c>
      <c r="AM56" s="183">
        <v>331937217415</v>
      </c>
      <c r="AN56" s="184">
        <f t="shared" ref="AN56:AN96" si="24">AJ56+AK56+AL56</f>
        <v>68172925173</v>
      </c>
      <c r="AO56" s="184">
        <f t="shared" ref="AO56:AO96" si="25">AE56+AF56+AG56</f>
        <v>68951838046</v>
      </c>
    </row>
    <row r="57" spans="12:41">
      <c r="L57" s="1">
        <v>1</v>
      </c>
      <c r="M57" s="309" t="s">
        <v>41</v>
      </c>
      <c r="N57" s="163">
        <v>103016</v>
      </c>
      <c r="O57" s="163">
        <f t="shared" si="23"/>
        <v>105215.500635</v>
      </c>
      <c r="P57" s="305">
        <f t="shared" si="18"/>
        <v>102.1351058427817</v>
      </c>
      <c r="Q57" s="306">
        <f t="shared" si="19"/>
        <v>6</v>
      </c>
      <c r="R57" s="241" t="str">
        <f t="shared" si="20"/>
        <v>0</v>
      </c>
      <c r="S57" s="166">
        <f t="shared" si="21"/>
        <v>1.6499999999999997E-2</v>
      </c>
      <c r="T57" s="307">
        <f t="shared" si="22"/>
        <v>6.0164999999999997</v>
      </c>
      <c r="U57" s="308"/>
      <c r="V57" s="303"/>
      <c r="W57" s="303"/>
      <c r="X57" s="303"/>
      <c r="AC57" s="185" t="s">
        <v>32</v>
      </c>
      <c r="AD57" s="181">
        <v>268050805512</v>
      </c>
      <c r="AE57" s="181">
        <v>89298121523</v>
      </c>
      <c r="AF57" s="181">
        <v>46455410</v>
      </c>
      <c r="AG57" s="181">
        <v>0</v>
      </c>
      <c r="AH57" s="182">
        <v>357395382445</v>
      </c>
      <c r="AI57" s="181">
        <v>270232982288</v>
      </c>
      <c r="AJ57" s="181">
        <v>82508089705</v>
      </c>
      <c r="AK57" s="181">
        <v>33198158</v>
      </c>
      <c r="AL57" s="181">
        <v>0</v>
      </c>
      <c r="AM57" s="183">
        <v>352774270151</v>
      </c>
      <c r="AN57" s="184">
        <f t="shared" si="24"/>
        <v>82541287863</v>
      </c>
      <c r="AO57" s="184">
        <f t="shared" si="25"/>
        <v>89344576933</v>
      </c>
    </row>
    <row r="58" spans="12:41">
      <c r="L58" s="1">
        <v>1</v>
      </c>
      <c r="M58" s="304" t="s">
        <v>35</v>
      </c>
      <c r="N58" s="163">
        <v>56604</v>
      </c>
      <c r="O58" s="163">
        <f t="shared" si="23"/>
        <v>57791.652378999999</v>
      </c>
      <c r="P58" s="305">
        <f t="shared" si="18"/>
        <v>102.09817747685676</v>
      </c>
      <c r="Q58" s="306">
        <f t="shared" si="19"/>
        <v>6</v>
      </c>
      <c r="R58" s="241" t="str">
        <f t="shared" si="20"/>
        <v>0</v>
      </c>
      <c r="S58" s="166">
        <f t="shared" si="21"/>
        <v>1.3199999999999996E-2</v>
      </c>
      <c r="T58" s="307">
        <f t="shared" si="22"/>
        <v>6.0132000000000003</v>
      </c>
      <c r="U58" s="308"/>
      <c r="V58" s="303"/>
      <c r="W58" s="303"/>
      <c r="X58" s="303"/>
      <c r="AC58" s="185" t="s">
        <v>64</v>
      </c>
      <c r="AD58" s="181">
        <v>88421209711</v>
      </c>
      <c r="AE58" s="181">
        <v>22995946793</v>
      </c>
      <c r="AF58" s="181">
        <v>0</v>
      </c>
      <c r="AG58" s="181">
        <v>0</v>
      </c>
      <c r="AH58" s="182">
        <v>111417156504</v>
      </c>
      <c r="AI58" s="181">
        <v>88455897022</v>
      </c>
      <c r="AJ58" s="181">
        <v>21243631416</v>
      </c>
      <c r="AK58" s="181">
        <v>0</v>
      </c>
      <c r="AL58" s="181">
        <v>0</v>
      </c>
      <c r="AM58" s="183">
        <v>109699528438</v>
      </c>
      <c r="AN58" s="184">
        <f t="shared" si="24"/>
        <v>21243631416</v>
      </c>
      <c r="AO58" s="184">
        <f t="shared" si="25"/>
        <v>22995946793</v>
      </c>
    </row>
    <row r="59" spans="12:41">
      <c r="L59" s="1">
        <v>1</v>
      </c>
      <c r="M59" s="304" t="s">
        <v>39</v>
      </c>
      <c r="N59" s="163">
        <v>88844</v>
      </c>
      <c r="O59" s="163">
        <f t="shared" si="23"/>
        <v>89468.126504999993</v>
      </c>
      <c r="P59" s="305">
        <f t="shared" si="18"/>
        <v>100.70249707914995</v>
      </c>
      <c r="Q59" s="306">
        <f t="shared" si="19"/>
        <v>6</v>
      </c>
      <c r="R59" s="241" t="str">
        <f t="shared" si="20"/>
        <v>0</v>
      </c>
      <c r="S59" s="166">
        <f t="shared" si="21"/>
        <v>9.8999999999999956E-3</v>
      </c>
      <c r="T59" s="307">
        <f t="shared" si="22"/>
        <v>6.0099</v>
      </c>
      <c r="U59" s="308"/>
      <c r="V59" s="303"/>
      <c r="W59" s="303"/>
      <c r="X59" s="303"/>
      <c r="AC59" s="185" t="s">
        <v>61</v>
      </c>
      <c r="AD59" s="181">
        <v>86008643642</v>
      </c>
      <c r="AE59" s="181">
        <v>35598238586</v>
      </c>
      <c r="AF59" s="181">
        <v>0</v>
      </c>
      <c r="AG59" s="181">
        <v>0</v>
      </c>
      <c r="AH59" s="182">
        <v>121606882228</v>
      </c>
      <c r="AI59" s="181">
        <v>84778363067</v>
      </c>
      <c r="AJ59" s="181">
        <v>35525885793</v>
      </c>
      <c r="AK59" s="181">
        <v>0</v>
      </c>
      <c r="AL59" s="181">
        <v>0</v>
      </c>
      <c r="AM59" s="183">
        <v>120304248860</v>
      </c>
      <c r="AN59" s="184">
        <f t="shared" si="24"/>
        <v>35525885793</v>
      </c>
      <c r="AO59" s="184">
        <f t="shared" si="25"/>
        <v>35598238586</v>
      </c>
    </row>
    <row r="60" spans="12:41">
      <c r="L60" s="1">
        <v>1</v>
      </c>
      <c r="M60" s="309" t="s">
        <v>49</v>
      </c>
      <c r="N60" s="163">
        <v>85242</v>
      </c>
      <c r="O60" s="163">
        <f t="shared" si="23"/>
        <v>85783.332934999999</v>
      </c>
      <c r="P60" s="305">
        <f t="shared" si="18"/>
        <v>100.63505423969406</v>
      </c>
      <c r="Q60" s="306">
        <f t="shared" si="19"/>
        <v>6</v>
      </c>
      <c r="R60" s="241" t="str">
        <f t="shared" si="20"/>
        <v>0</v>
      </c>
      <c r="S60" s="166">
        <f t="shared" si="21"/>
        <v>6.5999999999999956E-3</v>
      </c>
      <c r="T60" s="307">
        <f t="shared" si="22"/>
        <v>6.0065999999999997</v>
      </c>
      <c r="U60" s="308"/>
      <c r="V60" s="303"/>
      <c r="W60" s="303"/>
      <c r="X60" s="303"/>
      <c r="AC60" s="185" t="s">
        <v>57</v>
      </c>
      <c r="AD60" s="181">
        <v>45828605860</v>
      </c>
      <c r="AE60" s="181">
        <v>21158368903</v>
      </c>
      <c r="AF60" s="181">
        <v>0</v>
      </c>
      <c r="AG60" s="181">
        <v>0</v>
      </c>
      <c r="AH60" s="182">
        <v>66986974763</v>
      </c>
      <c r="AI60" s="181">
        <v>45574680815</v>
      </c>
      <c r="AJ60" s="181">
        <v>20214691454</v>
      </c>
      <c r="AK60" s="181">
        <v>0</v>
      </c>
      <c r="AL60" s="181">
        <v>0</v>
      </c>
      <c r="AM60" s="183">
        <v>65789372269</v>
      </c>
      <c r="AN60" s="184">
        <f t="shared" si="24"/>
        <v>20214691454</v>
      </c>
      <c r="AO60" s="184">
        <f t="shared" si="25"/>
        <v>21158368903</v>
      </c>
    </row>
    <row r="61" spans="12:41">
      <c r="L61" s="1">
        <v>1</v>
      </c>
      <c r="M61" s="304" t="s">
        <v>59</v>
      </c>
      <c r="N61" s="163">
        <v>24369</v>
      </c>
      <c r="O61" s="163">
        <f t="shared" si="23"/>
        <v>24422.881001000002</v>
      </c>
      <c r="P61" s="305">
        <f t="shared" si="18"/>
        <v>100.22110468628176</v>
      </c>
      <c r="Q61" s="306">
        <f t="shared" si="19"/>
        <v>6</v>
      </c>
      <c r="R61" s="241" t="str">
        <f t="shared" si="20"/>
        <v>0</v>
      </c>
      <c r="S61" s="166">
        <f t="shared" si="21"/>
        <v>3.2999999999999956E-3</v>
      </c>
      <c r="T61" s="307">
        <f t="shared" si="22"/>
        <v>6.0033000000000003</v>
      </c>
      <c r="U61" s="308"/>
      <c r="V61" s="303"/>
      <c r="W61" s="303"/>
      <c r="X61" s="303"/>
      <c r="AC61" s="185" t="s">
        <v>52</v>
      </c>
      <c r="AD61" s="181">
        <v>141848980483</v>
      </c>
      <c r="AE61" s="181">
        <v>45769524808</v>
      </c>
      <c r="AF61" s="181">
        <v>35772649</v>
      </c>
      <c r="AG61" s="181">
        <v>0</v>
      </c>
      <c r="AH61" s="182">
        <v>187654277940</v>
      </c>
      <c r="AI61" s="181">
        <v>137566379273</v>
      </c>
      <c r="AJ61" s="181">
        <v>43843124412</v>
      </c>
      <c r="AK61" s="181">
        <v>35020883</v>
      </c>
      <c r="AL61" s="181">
        <v>0</v>
      </c>
      <c r="AM61" s="183">
        <v>181444524568</v>
      </c>
      <c r="AN61" s="184">
        <f t="shared" si="24"/>
        <v>43878145295</v>
      </c>
      <c r="AO61" s="184">
        <f t="shared" si="25"/>
        <v>45805297457</v>
      </c>
    </row>
    <row r="62" spans="12:41">
      <c r="L62" s="1">
        <v>1</v>
      </c>
      <c r="M62" s="304" t="s">
        <v>32</v>
      </c>
      <c r="N62" s="163">
        <v>82878</v>
      </c>
      <c r="O62" s="163">
        <f t="shared" si="23"/>
        <v>82572.820999999996</v>
      </c>
      <c r="P62" s="305">
        <f t="shared" si="18"/>
        <v>99.631773208812959</v>
      </c>
      <c r="Q62" s="306">
        <f t="shared" si="19"/>
        <v>5.9779063925287774</v>
      </c>
      <c r="R62" s="241" t="str">
        <f t="shared" si="20"/>
        <v/>
      </c>
      <c r="S62" s="166" t="str">
        <f t="shared" si="21"/>
        <v>0</v>
      </c>
      <c r="T62" s="307">
        <f t="shared" si="22"/>
        <v>5.9779063925287774</v>
      </c>
      <c r="U62" s="308"/>
      <c r="V62" s="303"/>
      <c r="W62" s="303"/>
      <c r="X62" s="303"/>
      <c r="AC62" s="185" t="s">
        <v>55</v>
      </c>
      <c r="AD62" s="181">
        <v>80358873472</v>
      </c>
      <c r="AE62" s="181">
        <v>23365609740</v>
      </c>
      <c r="AF62" s="181">
        <v>0</v>
      </c>
      <c r="AG62" s="181">
        <v>0</v>
      </c>
      <c r="AH62" s="182">
        <v>103724483212</v>
      </c>
      <c r="AI62" s="181">
        <v>80545225814</v>
      </c>
      <c r="AJ62" s="181">
        <v>23267887879</v>
      </c>
      <c r="AK62" s="181">
        <v>0</v>
      </c>
      <c r="AL62" s="181">
        <v>0</v>
      </c>
      <c r="AM62" s="183">
        <v>103813113693</v>
      </c>
      <c r="AN62" s="184">
        <f t="shared" si="24"/>
        <v>23267887879</v>
      </c>
      <c r="AO62" s="184">
        <f t="shared" si="25"/>
        <v>23365609740</v>
      </c>
    </row>
    <row r="63" spans="12:41">
      <c r="L63" s="1">
        <v>1</v>
      </c>
      <c r="M63" s="304" t="s">
        <v>52</v>
      </c>
      <c r="N63" s="163">
        <v>44175</v>
      </c>
      <c r="O63" s="163">
        <f t="shared" si="23"/>
        <v>43887.774230000003</v>
      </c>
      <c r="P63" s="305">
        <f t="shared" si="18"/>
        <v>99.349800181097919</v>
      </c>
      <c r="Q63" s="306">
        <f t="shared" si="19"/>
        <v>5.9609880108658748</v>
      </c>
      <c r="R63" s="241" t="str">
        <f t="shared" si="20"/>
        <v/>
      </c>
      <c r="S63" s="166" t="str">
        <f t="shared" si="21"/>
        <v>0</v>
      </c>
      <c r="T63" s="307">
        <f t="shared" si="22"/>
        <v>5.9609880108658748</v>
      </c>
      <c r="U63" s="308"/>
      <c r="V63" s="303"/>
      <c r="W63" s="303"/>
      <c r="X63" s="303"/>
      <c r="AC63" s="185" t="s">
        <v>56</v>
      </c>
      <c r="AD63" s="181">
        <v>98424572926</v>
      </c>
      <c r="AE63" s="181">
        <v>29692618243</v>
      </c>
      <c r="AF63" s="181">
        <v>0</v>
      </c>
      <c r="AG63" s="181">
        <v>0</v>
      </c>
      <c r="AH63" s="182">
        <v>128117191169</v>
      </c>
      <c r="AI63" s="181">
        <v>100083109504</v>
      </c>
      <c r="AJ63" s="181">
        <v>26455260734</v>
      </c>
      <c r="AK63" s="181">
        <v>0</v>
      </c>
      <c r="AL63" s="181">
        <v>0</v>
      </c>
      <c r="AM63" s="183">
        <v>126538370238</v>
      </c>
      <c r="AN63" s="184">
        <f t="shared" si="24"/>
        <v>26455260734</v>
      </c>
      <c r="AO63" s="184">
        <f t="shared" si="25"/>
        <v>29692618243</v>
      </c>
    </row>
    <row r="64" spans="12:41">
      <c r="L64" s="1">
        <v>1</v>
      </c>
      <c r="M64" s="304" t="s">
        <v>42</v>
      </c>
      <c r="N64" s="163">
        <v>88189</v>
      </c>
      <c r="O64" s="163">
        <f t="shared" si="23"/>
        <v>87545.718449000007</v>
      </c>
      <c r="P64" s="305">
        <f t="shared" si="18"/>
        <v>99.270564865232629</v>
      </c>
      <c r="Q64" s="306">
        <f t="shared" si="19"/>
        <v>5.9562338919139579</v>
      </c>
      <c r="R64" s="241" t="str">
        <f t="shared" si="20"/>
        <v/>
      </c>
      <c r="S64" s="166" t="str">
        <f t="shared" si="21"/>
        <v>0</v>
      </c>
      <c r="T64" s="307">
        <f t="shared" si="22"/>
        <v>5.9562338919139579</v>
      </c>
      <c r="U64" s="308"/>
      <c r="V64" s="303"/>
      <c r="W64" s="303"/>
      <c r="X64" s="303"/>
      <c r="AC64" s="185" t="s">
        <v>58</v>
      </c>
      <c r="AD64" s="181">
        <v>91268287166</v>
      </c>
      <c r="AE64" s="181">
        <v>32875323262</v>
      </c>
      <c r="AF64" s="181">
        <v>112817975</v>
      </c>
      <c r="AG64" s="181">
        <v>0</v>
      </c>
      <c r="AH64" s="182">
        <v>124256428403</v>
      </c>
      <c r="AI64" s="181">
        <v>90220124693</v>
      </c>
      <c r="AJ64" s="181">
        <v>31160544091</v>
      </c>
      <c r="AK64" s="181">
        <v>123980574</v>
      </c>
      <c r="AL64" s="181">
        <v>0</v>
      </c>
      <c r="AM64" s="183">
        <v>121504649358</v>
      </c>
      <c r="AN64" s="184">
        <f t="shared" si="24"/>
        <v>31284524665</v>
      </c>
      <c r="AO64" s="184">
        <f t="shared" si="25"/>
        <v>32988141237</v>
      </c>
    </row>
    <row r="65" spans="12:43">
      <c r="L65" s="1">
        <v>1</v>
      </c>
      <c r="M65" s="304" t="s">
        <v>37</v>
      </c>
      <c r="N65" s="163">
        <v>43423</v>
      </c>
      <c r="O65" s="163">
        <f t="shared" si="23"/>
        <v>43087.853062000002</v>
      </c>
      <c r="P65" s="305">
        <f t="shared" si="18"/>
        <v>99.22818106072819</v>
      </c>
      <c r="Q65" s="306">
        <f t="shared" si="19"/>
        <v>5.9536908636436916</v>
      </c>
      <c r="R65" s="241" t="str">
        <f t="shared" si="20"/>
        <v/>
      </c>
      <c r="S65" s="166" t="str">
        <f t="shared" si="21"/>
        <v>0</v>
      </c>
      <c r="T65" s="307">
        <f t="shared" si="22"/>
        <v>5.9536908636436916</v>
      </c>
      <c r="U65" s="308"/>
      <c r="V65" s="303"/>
      <c r="W65" s="303"/>
      <c r="X65" s="303"/>
      <c r="AC65" s="185" t="s">
        <v>60</v>
      </c>
      <c r="AD65" s="181">
        <v>74425369104</v>
      </c>
      <c r="AE65" s="181">
        <v>22846658668</v>
      </c>
      <c r="AF65" s="181">
        <v>0</v>
      </c>
      <c r="AG65" s="181">
        <v>0</v>
      </c>
      <c r="AH65" s="182">
        <v>97272027772</v>
      </c>
      <c r="AI65" s="181">
        <v>75131721409</v>
      </c>
      <c r="AJ65" s="181">
        <v>21566644558</v>
      </c>
      <c r="AK65" s="181">
        <v>0</v>
      </c>
      <c r="AL65" s="181">
        <v>0</v>
      </c>
      <c r="AM65" s="183">
        <v>96698365967</v>
      </c>
      <c r="AN65" s="184">
        <f t="shared" si="24"/>
        <v>21566644558</v>
      </c>
      <c r="AO65" s="184">
        <f t="shared" si="25"/>
        <v>22846658668</v>
      </c>
    </row>
    <row r="66" spans="12:43">
      <c r="L66" s="1">
        <v>1</v>
      </c>
      <c r="M66" s="304" t="s">
        <v>33</v>
      </c>
      <c r="N66" s="163">
        <v>62839</v>
      </c>
      <c r="O66" s="163">
        <f t="shared" si="23"/>
        <v>61894.689847000001</v>
      </c>
      <c r="P66" s="305">
        <f t="shared" si="18"/>
        <v>98.497254646000101</v>
      </c>
      <c r="Q66" s="306">
        <f t="shared" si="19"/>
        <v>5.9098352787600055</v>
      </c>
      <c r="R66" s="241" t="str">
        <f t="shared" si="20"/>
        <v/>
      </c>
      <c r="S66" s="166" t="str">
        <f t="shared" si="21"/>
        <v>0</v>
      </c>
      <c r="T66" s="307">
        <f t="shared" si="22"/>
        <v>5.9098352787600055</v>
      </c>
      <c r="U66" s="308"/>
      <c r="V66" s="303"/>
      <c r="W66" s="303"/>
      <c r="X66" s="303"/>
      <c r="AC66" s="185" t="s">
        <v>53</v>
      </c>
      <c r="AD66" s="181">
        <v>117012539714</v>
      </c>
      <c r="AE66" s="181">
        <v>38954790798</v>
      </c>
      <c r="AF66" s="181">
        <v>28155656</v>
      </c>
      <c r="AG66" s="181">
        <v>0</v>
      </c>
      <c r="AH66" s="182">
        <v>155995486168</v>
      </c>
      <c r="AI66" s="181">
        <v>136126506140</v>
      </c>
      <c r="AJ66" s="181">
        <v>37140746817</v>
      </c>
      <c r="AK66" s="181">
        <v>25726178</v>
      </c>
      <c r="AL66" s="181">
        <v>0</v>
      </c>
      <c r="AM66" s="183">
        <v>173292979135</v>
      </c>
      <c r="AN66" s="184">
        <f t="shared" si="24"/>
        <v>37166472995</v>
      </c>
      <c r="AO66" s="184">
        <f t="shared" si="25"/>
        <v>38982946454</v>
      </c>
    </row>
    <row r="67" spans="12:43">
      <c r="L67" s="1">
        <v>1</v>
      </c>
      <c r="M67" s="304" t="s">
        <v>53</v>
      </c>
      <c r="N67" s="163">
        <v>37777</v>
      </c>
      <c r="O67" s="163">
        <f t="shared" si="23"/>
        <v>37174.971739000001</v>
      </c>
      <c r="P67" s="305">
        <f t="shared" si="18"/>
        <v>98.406362969531727</v>
      </c>
      <c r="Q67" s="306">
        <f t="shared" si="19"/>
        <v>5.9043817781719037</v>
      </c>
      <c r="R67" s="241" t="str">
        <f t="shared" si="20"/>
        <v/>
      </c>
      <c r="S67" s="166" t="str">
        <f t="shared" si="21"/>
        <v>0</v>
      </c>
      <c r="T67" s="307">
        <f t="shared" si="22"/>
        <v>5.9043817781719037</v>
      </c>
      <c r="U67" s="308"/>
      <c r="V67" s="303"/>
      <c r="W67" s="303"/>
      <c r="X67" s="303"/>
      <c r="AC67" s="185" t="s">
        <v>54</v>
      </c>
      <c r="AD67" s="181">
        <v>79478010324</v>
      </c>
      <c r="AE67" s="181">
        <v>36938919900</v>
      </c>
      <c r="AF67" s="181">
        <v>24321280</v>
      </c>
      <c r="AG67" s="181">
        <v>0</v>
      </c>
      <c r="AH67" s="182">
        <v>116441251504</v>
      </c>
      <c r="AI67" s="181">
        <v>79124309913</v>
      </c>
      <c r="AJ67" s="181">
        <v>35948944049</v>
      </c>
      <c r="AK67" s="181">
        <v>23316395</v>
      </c>
      <c r="AL67" s="181">
        <v>0</v>
      </c>
      <c r="AM67" s="183">
        <v>115096570357</v>
      </c>
      <c r="AN67" s="184">
        <f t="shared" si="24"/>
        <v>35972260444</v>
      </c>
      <c r="AO67" s="184">
        <f t="shared" si="25"/>
        <v>36963241180</v>
      </c>
    </row>
    <row r="68" spans="12:43">
      <c r="L68" s="1">
        <v>1</v>
      </c>
      <c r="M68" s="304" t="s">
        <v>50</v>
      </c>
      <c r="N68" s="163">
        <v>39956</v>
      </c>
      <c r="O68" s="163">
        <f t="shared" si="23"/>
        <v>39064.390805000003</v>
      </c>
      <c r="P68" s="305">
        <f t="shared" si="18"/>
        <v>97.768522387125842</v>
      </c>
      <c r="Q68" s="306">
        <f t="shared" si="19"/>
        <v>5.8661113432275505</v>
      </c>
      <c r="R68" s="241" t="str">
        <f t="shared" si="20"/>
        <v/>
      </c>
      <c r="S68" s="166" t="str">
        <f t="shared" si="21"/>
        <v>0</v>
      </c>
      <c r="T68" s="307">
        <f t="shared" si="22"/>
        <v>5.8661113432275505</v>
      </c>
      <c r="U68" s="308"/>
      <c r="V68" s="303"/>
      <c r="W68" s="303"/>
      <c r="X68" s="303"/>
      <c r="AC68" s="185" t="s">
        <v>59</v>
      </c>
      <c r="AD68" s="181">
        <v>79676385418</v>
      </c>
      <c r="AE68" s="181">
        <v>24691342340</v>
      </c>
      <c r="AF68" s="181">
        <v>129996268</v>
      </c>
      <c r="AG68" s="181">
        <v>0</v>
      </c>
      <c r="AH68" s="182">
        <v>104497724026</v>
      </c>
      <c r="AI68" s="181">
        <v>80492462902</v>
      </c>
      <c r="AJ68" s="181">
        <v>24312730247</v>
      </c>
      <c r="AK68" s="181">
        <v>107725889</v>
      </c>
      <c r="AL68" s="181">
        <v>0</v>
      </c>
      <c r="AM68" s="183">
        <v>104912919038</v>
      </c>
      <c r="AN68" s="184">
        <f t="shared" si="24"/>
        <v>24420456136</v>
      </c>
      <c r="AO68" s="184">
        <f t="shared" si="25"/>
        <v>24821338608</v>
      </c>
    </row>
    <row r="69" spans="12:43">
      <c r="L69" s="1">
        <v>1</v>
      </c>
      <c r="M69" s="304" t="s">
        <v>45</v>
      </c>
      <c r="N69" s="163">
        <v>48945</v>
      </c>
      <c r="O69" s="163">
        <f t="shared" si="23"/>
        <v>47470.035056000001</v>
      </c>
      <c r="P69" s="305">
        <f t="shared" si="18"/>
        <v>96.986484944325269</v>
      </c>
      <c r="Q69" s="306">
        <f t="shared" si="19"/>
        <v>5.8191890966595157</v>
      </c>
      <c r="R69" s="241" t="str">
        <f t="shared" si="20"/>
        <v/>
      </c>
      <c r="S69" s="166" t="str">
        <f t="shared" si="21"/>
        <v>0</v>
      </c>
      <c r="T69" s="307">
        <f t="shared" si="22"/>
        <v>5.8191890966595157</v>
      </c>
      <c r="U69" s="308"/>
      <c r="V69" s="303"/>
      <c r="W69" s="303"/>
      <c r="X69" s="303"/>
      <c r="AC69" s="185" t="s">
        <v>33</v>
      </c>
      <c r="AD69" s="181">
        <v>217913193869</v>
      </c>
      <c r="AE69" s="181">
        <v>65235930928</v>
      </c>
      <c r="AF69" s="181">
        <v>141269110</v>
      </c>
      <c r="AG69" s="181">
        <v>0</v>
      </c>
      <c r="AH69" s="182">
        <v>283290393907</v>
      </c>
      <c r="AI69" s="181">
        <v>216333130684</v>
      </c>
      <c r="AJ69" s="181">
        <v>61746463056</v>
      </c>
      <c r="AK69" s="181">
        <v>131455277</v>
      </c>
      <c r="AL69" s="181">
        <v>0</v>
      </c>
      <c r="AM69" s="183">
        <v>278211049017</v>
      </c>
      <c r="AN69" s="184">
        <f t="shared" si="24"/>
        <v>61877918333</v>
      </c>
      <c r="AO69" s="184">
        <f t="shared" si="25"/>
        <v>65377200038</v>
      </c>
    </row>
    <row r="70" spans="12:43">
      <c r="L70" s="1">
        <v>1</v>
      </c>
      <c r="M70" s="304" t="s">
        <v>61</v>
      </c>
      <c r="N70" s="163">
        <v>36775</v>
      </c>
      <c r="O70" s="163">
        <f t="shared" si="23"/>
        <v>35527.276075000002</v>
      </c>
      <c r="P70" s="305">
        <f t="shared" si="18"/>
        <v>96.607140924541127</v>
      </c>
      <c r="Q70" s="306">
        <f t="shared" si="19"/>
        <v>5.7964284554724674</v>
      </c>
      <c r="R70" s="241" t="str">
        <f t="shared" si="20"/>
        <v/>
      </c>
      <c r="S70" s="166" t="str">
        <f t="shared" si="21"/>
        <v>0</v>
      </c>
      <c r="T70" s="307">
        <f t="shared" si="22"/>
        <v>5.7964284554724674</v>
      </c>
      <c r="U70" s="308"/>
      <c r="V70" s="303"/>
      <c r="W70" s="303"/>
      <c r="X70" s="303"/>
      <c r="AC70" s="185" t="s">
        <v>50</v>
      </c>
      <c r="AD70" s="181">
        <v>144390115557</v>
      </c>
      <c r="AE70" s="181">
        <v>41677853511</v>
      </c>
      <c r="AF70" s="181">
        <v>160440876</v>
      </c>
      <c r="AG70" s="181">
        <v>0</v>
      </c>
      <c r="AH70" s="182">
        <v>186228409944</v>
      </c>
      <c r="AI70" s="181">
        <v>141111438695</v>
      </c>
      <c r="AJ70" s="181">
        <v>38917893010</v>
      </c>
      <c r="AK70" s="181">
        <v>131763763</v>
      </c>
      <c r="AL70" s="181">
        <v>0</v>
      </c>
      <c r="AM70" s="183">
        <v>180161095468</v>
      </c>
      <c r="AN70" s="184">
        <f t="shared" si="24"/>
        <v>39049656773</v>
      </c>
      <c r="AO70" s="184">
        <f t="shared" si="25"/>
        <v>41838294387</v>
      </c>
    </row>
    <row r="71" spans="12:43">
      <c r="L71" s="1">
        <v>1</v>
      </c>
      <c r="M71" s="304" t="s">
        <v>38</v>
      </c>
      <c r="N71" s="163">
        <v>81033</v>
      </c>
      <c r="O71" s="163">
        <f t="shared" si="23"/>
        <v>78125.132750999997</v>
      </c>
      <c r="P71" s="305">
        <f t="shared" si="18"/>
        <v>96.4115024138314</v>
      </c>
      <c r="Q71" s="306">
        <f t="shared" si="19"/>
        <v>5.7846901448298835</v>
      </c>
      <c r="R71" s="241" t="str">
        <f t="shared" si="20"/>
        <v/>
      </c>
      <c r="S71" s="166" t="str">
        <f t="shared" si="21"/>
        <v>0</v>
      </c>
      <c r="T71" s="307">
        <f t="shared" si="22"/>
        <v>5.7846901448298835</v>
      </c>
      <c r="U71" s="308"/>
      <c r="V71" s="303"/>
      <c r="W71" s="303"/>
      <c r="X71" s="303"/>
      <c r="AC71" s="185" t="s">
        <v>62</v>
      </c>
      <c r="AD71" s="181">
        <v>61930263290</v>
      </c>
      <c r="AE71" s="181">
        <v>21966792500</v>
      </c>
      <c r="AF71" s="181">
        <v>26258490</v>
      </c>
      <c r="AG71" s="181">
        <v>0</v>
      </c>
      <c r="AH71" s="182">
        <v>83923314280</v>
      </c>
      <c r="AI71" s="181">
        <v>59611530770</v>
      </c>
      <c r="AJ71" s="181">
        <v>20272740852</v>
      </c>
      <c r="AK71" s="181">
        <v>22550122</v>
      </c>
      <c r="AL71" s="181">
        <v>0</v>
      </c>
      <c r="AM71" s="183">
        <v>79906821744</v>
      </c>
      <c r="AN71" s="184">
        <f t="shared" si="24"/>
        <v>20295290974</v>
      </c>
      <c r="AO71" s="184">
        <f t="shared" si="25"/>
        <v>21993050990</v>
      </c>
    </row>
    <row r="72" spans="12:43">
      <c r="L72" s="1">
        <v>1</v>
      </c>
      <c r="M72" s="304" t="s">
        <v>51</v>
      </c>
      <c r="N72" s="163">
        <v>53537</v>
      </c>
      <c r="O72" s="163">
        <f t="shared" si="23"/>
        <v>51192.368634999999</v>
      </c>
      <c r="P72" s="305">
        <f t="shared" si="18"/>
        <v>95.620540252535633</v>
      </c>
      <c r="Q72" s="306">
        <f t="shared" si="19"/>
        <v>5.7372324151521381</v>
      </c>
      <c r="R72" s="241" t="str">
        <f t="shared" si="20"/>
        <v/>
      </c>
      <c r="S72" s="166" t="str">
        <f t="shared" si="21"/>
        <v>0</v>
      </c>
      <c r="T72" s="307">
        <f t="shared" si="22"/>
        <v>5.7372324151521381</v>
      </c>
      <c r="U72" s="308"/>
      <c r="V72" s="303"/>
      <c r="W72" s="303"/>
      <c r="X72" s="303"/>
      <c r="AC72" s="185" t="s">
        <v>34</v>
      </c>
      <c r="AD72" s="181">
        <v>302296269713</v>
      </c>
      <c r="AE72" s="181">
        <v>72037103325</v>
      </c>
      <c r="AF72" s="181">
        <v>0</v>
      </c>
      <c r="AG72" s="181">
        <v>0</v>
      </c>
      <c r="AH72" s="182">
        <v>374333373038</v>
      </c>
      <c r="AI72" s="181">
        <v>297652240659</v>
      </c>
      <c r="AJ72" s="181">
        <v>71586685586</v>
      </c>
      <c r="AK72" s="181">
        <v>0</v>
      </c>
      <c r="AL72" s="181">
        <v>0</v>
      </c>
      <c r="AM72" s="183">
        <v>369238926245</v>
      </c>
      <c r="AN72" s="184">
        <f t="shared" si="24"/>
        <v>71586685586</v>
      </c>
      <c r="AO72" s="184">
        <f t="shared" si="25"/>
        <v>72037103325</v>
      </c>
    </row>
    <row r="73" spans="12:43">
      <c r="L73" s="1">
        <v>1</v>
      </c>
      <c r="M73" s="304" t="s">
        <v>48</v>
      </c>
      <c r="N73" s="163">
        <v>37380</v>
      </c>
      <c r="O73" s="163">
        <f t="shared" si="23"/>
        <v>35712.409793999999</v>
      </c>
      <c r="P73" s="305">
        <f t="shared" si="18"/>
        <v>95.538816998394864</v>
      </c>
      <c r="Q73" s="306">
        <f t="shared" si="19"/>
        <v>5.732329019903692</v>
      </c>
      <c r="R73" s="241" t="str">
        <f t="shared" si="20"/>
        <v/>
      </c>
      <c r="S73" s="166" t="str">
        <f t="shared" si="21"/>
        <v>0</v>
      </c>
      <c r="T73" s="307">
        <f t="shared" si="22"/>
        <v>5.732329019903692</v>
      </c>
      <c r="U73" s="308"/>
      <c r="V73" s="303"/>
      <c r="W73" s="303"/>
      <c r="X73" s="303"/>
      <c r="AC73" s="185" t="s">
        <v>66</v>
      </c>
      <c r="AD73" s="181">
        <v>80715159136</v>
      </c>
      <c r="AE73" s="181">
        <v>21222292333</v>
      </c>
      <c r="AF73" s="181">
        <v>0</v>
      </c>
      <c r="AG73" s="181">
        <v>0</v>
      </c>
      <c r="AH73" s="182">
        <v>101937451469</v>
      </c>
      <c r="AI73" s="181">
        <v>81544387256</v>
      </c>
      <c r="AJ73" s="181">
        <v>20035060927</v>
      </c>
      <c r="AK73" s="181">
        <v>0</v>
      </c>
      <c r="AL73" s="181">
        <v>0</v>
      </c>
      <c r="AM73" s="183">
        <v>101579448183</v>
      </c>
      <c r="AN73" s="184">
        <f t="shared" si="24"/>
        <v>20035060927</v>
      </c>
      <c r="AO73" s="184">
        <f t="shared" si="25"/>
        <v>21222292333</v>
      </c>
    </row>
    <row r="74" spans="12:43">
      <c r="L74" s="1">
        <v>1</v>
      </c>
      <c r="M74" s="304" t="s">
        <v>46</v>
      </c>
      <c r="N74" s="163">
        <v>47487</v>
      </c>
      <c r="O74" s="163">
        <f t="shared" si="23"/>
        <v>45117.917862000002</v>
      </c>
      <c r="P74" s="305">
        <f t="shared" si="18"/>
        <v>95.011093271842824</v>
      </c>
      <c r="Q74" s="306">
        <f t="shared" si="19"/>
        <v>5.7006655963105697</v>
      </c>
      <c r="R74" s="241" t="str">
        <f t="shared" si="20"/>
        <v/>
      </c>
      <c r="S74" s="166" t="str">
        <f t="shared" si="21"/>
        <v>0</v>
      </c>
      <c r="T74" s="307">
        <f t="shared" si="22"/>
        <v>5.7006655963105697</v>
      </c>
      <c r="U74" s="308"/>
      <c r="V74" s="303"/>
      <c r="W74" s="303"/>
      <c r="X74" s="303"/>
      <c r="AC74" s="185" t="s">
        <v>63</v>
      </c>
      <c r="AD74" s="181">
        <v>49420516671</v>
      </c>
      <c r="AE74" s="181">
        <v>19605043684</v>
      </c>
      <c r="AF74" s="181">
        <v>0</v>
      </c>
      <c r="AG74" s="181">
        <v>0</v>
      </c>
      <c r="AH74" s="182">
        <v>69025560355</v>
      </c>
      <c r="AI74" s="181">
        <v>49642901943</v>
      </c>
      <c r="AJ74" s="181">
        <v>18505852181</v>
      </c>
      <c r="AK74" s="181">
        <v>0</v>
      </c>
      <c r="AL74" s="181">
        <v>0</v>
      </c>
      <c r="AM74" s="183">
        <v>68148754124</v>
      </c>
      <c r="AN74" s="184">
        <f t="shared" si="24"/>
        <v>18505852181</v>
      </c>
      <c r="AO74" s="184">
        <f t="shared" si="25"/>
        <v>19605043684</v>
      </c>
    </row>
    <row r="75" spans="12:43">
      <c r="L75" s="1">
        <v>1</v>
      </c>
      <c r="M75" s="304" t="s">
        <v>44</v>
      </c>
      <c r="N75" s="163">
        <v>51645</v>
      </c>
      <c r="O75" s="163">
        <f t="shared" si="23"/>
        <v>48725.054067999998</v>
      </c>
      <c r="P75" s="305">
        <f t="shared" si="18"/>
        <v>94.346120762900554</v>
      </c>
      <c r="Q75" s="306">
        <f t="shared" si="19"/>
        <v>5.660767245774033</v>
      </c>
      <c r="R75" s="241" t="str">
        <f t="shared" si="20"/>
        <v/>
      </c>
      <c r="S75" s="166" t="str">
        <f t="shared" si="21"/>
        <v>0</v>
      </c>
      <c r="T75" s="307">
        <f t="shared" si="22"/>
        <v>5.660767245774033</v>
      </c>
      <c r="U75" s="308"/>
      <c r="V75" s="303"/>
      <c r="W75" s="303"/>
      <c r="X75" s="303"/>
      <c r="AC75" s="185" t="s">
        <v>65</v>
      </c>
      <c r="AD75" s="181">
        <v>28932942120</v>
      </c>
      <c r="AE75" s="181">
        <v>7387486518</v>
      </c>
      <c r="AF75" s="181">
        <v>352000</v>
      </c>
      <c r="AG75" s="181">
        <v>0</v>
      </c>
      <c r="AH75" s="182">
        <v>36320780638</v>
      </c>
      <c r="AI75" s="181">
        <v>28754331685</v>
      </c>
      <c r="AJ75" s="181">
        <v>7581146890</v>
      </c>
      <c r="AK75" s="181">
        <v>2591381</v>
      </c>
      <c r="AL75" s="181">
        <v>0</v>
      </c>
      <c r="AM75" s="183">
        <v>36338069956</v>
      </c>
      <c r="AN75" s="184">
        <f t="shared" si="24"/>
        <v>7583738271</v>
      </c>
      <c r="AO75" s="184">
        <f t="shared" si="25"/>
        <v>7387838518</v>
      </c>
    </row>
    <row r="76" spans="12:43">
      <c r="L76" s="1">
        <v>1</v>
      </c>
      <c r="M76" s="304" t="s">
        <v>28</v>
      </c>
      <c r="N76" s="163">
        <v>73235</v>
      </c>
      <c r="O76" s="163">
        <f t="shared" si="23"/>
        <v>68177.165401999999</v>
      </c>
      <c r="P76" s="305">
        <f t="shared" si="18"/>
        <v>93.09369208984775</v>
      </c>
      <c r="Q76" s="306">
        <f t="shared" si="19"/>
        <v>5.5856215253908648</v>
      </c>
      <c r="R76" s="241" t="str">
        <f t="shared" si="20"/>
        <v/>
      </c>
      <c r="S76" s="166" t="str">
        <f t="shared" si="21"/>
        <v>0</v>
      </c>
      <c r="T76" s="307">
        <f t="shared" si="22"/>
        <v>5.5856215253908648</v>
      </c>
      <c r="U76" s="308"/>
      <c r="V76" s="303"/>
      <c r="W76" s="303"/>
      <c r="X76" s="303"/>
      <c r="AC76" s="185" t="s">
        <v>45</v>
      </c>
      <c r="AD76" s="181">
        <v>101359723633</v>
      </c>
      <c r="AE76" s="181">
        <v>48879269146</v>
      </c>
      <c r="AF76" s="181">
        <v>0</v>
      </c>
      <c r="AG76" s="181">
        <v>0</v>
      </c>
      <c r="AH76" s="182">
        <v>150238992779</v>
      </c>
      <c r="AI76" s="181">
        <v>106623886785</v>
      </c>
      <c r="AJ76" s="181">
        <v>47461290286</v>
      </c>
      <c r="AK76" s="181">
        <v>0</v>
      </c>
      <c r="AL76" s="181">
        <v>0</v>
      </c>
      <c r="AM76" s="183">
        <v>154085177071</v>
      </c>
      <c r="AN76" s="184">
        <f t="shared" si="24"/>
        <v>47461290286</v>
      </c>
      <c r="AO76" s="184">
        <f t="shared" si="25"/>
        <v>48879269146</v>
      </c>
    </row>
    <row r="77" spans="12:43" ht="17.25" thickBot="1">
      <c r="L77" s="1">
        <v>1</v>
      </c>
      <c r="M77" s="310" t="s">
        <v>29</v>
      </c>
      <c r="N77" s="311">
        <v>68038</v>
      </c>
      <c r="O77" s="311">
        <f t="shared" si="23"/>
        <v>56736.576221000003</v>
      </c>
      <c r="P77" s="312">
        <f t="shared" si="18"/>
        <v>83.389541463593872</v>
      </c>
      <c r="Q77" s="313">
        <f t="shared" si="19"/>
        <v>5.003372487815632</v>
      </c>
      <c r="R77" s="248" t="str">
        <f t="shared" si="20"/>
        <v/>
      </c>
      <c r="S77" s="191" t="str">
        <f t="shared" si="21"/>
        <v>0</v>
      </c>
      <c r="T77" s="314">
        <f t="shared" si="22"/>
        <v>5.003372487815632</v>
      </c>
      <c r="U77" s="315"/>
      <c r="V77" s="303"/>
      <c r="W77" s="303"/>
      <c r="X77" s="303"/>
      <c r="AC77" s="185" t="s">
        <v>67</v>
      </c>
      <c r="AD77" s="181">
        <v>123388796925</v>
      </c>
      <c r="AE77" s="181">
        <v>26779782263</v>
      </c>
      <c r="AF77" s="181">
        <v>0</v>
      </c>
      <c r="AG77" s="181">
        <v>286</v>
      </c>
      <c r="AH77" s="182">
        <v>150168579474</v>
      </c>
      <c r="AI77" s="181">
        <v>117491395279</v>
      </c>
      <c r="AJ77" s="181">
        <v>26678107107</v>
      </c>
      <c r="AK77" s="181">
        <v>0</v>
      </c>
      <c r="AL77" s="181">
        <v>286</v>
      </c>
      <c r="AM77" s="183">
        <v>144169502672</v>
      </c>
      <c r="AN77" s="184">
        <f t="shared" si="24"/>
        <v>26678107393</v>
      </c>
      <c r="AO77" s="184">
        <f t="shared" si="25"/>
        <v>26779782549</v>
      </c>
    </row>
    <row r="78" spans="12:43">
      <c r="L78" s="1">
        <v>2</v>
      </c>
      <c r="M78" s="316" t="s">
        <v>58</v>
      </c>
      <c r="N78" s="298">
        <v>30447</v>
      </c>
      <c r="O78" s="298">
        <f t="shared" si="23"/>
        <v>31292.439032999999</v>
      </c>
      <c r="P78" s="299">
        <f t="shared" si="18"/>
        <v>102.77675643905802</v>
      </c>
      <c r="Q78" s="300">
        <f t="shared" si="19"/>
        <v>6</v>
      </c>
      <c r="R78" s="147" t="str">
        <f t="shared" si="20"/>
        <v>0</v>
      </c>
      <c r="S78" s="148">
        <f>COUNTIF(R78:R89,"0")*0.0033</f>
        <v>9.8999999999999991E-3</v>
      </c>
      <c r="T78" s="301">
        <f t="shared" si="22"/>
        <v>6.0099</v>
      </c>
      <c r="U78" s="302"/>
      <c r="V78" s="303"/>
      <c r="W78" s="303"/>
      <c r="X78" s="303"/>
      <c r="AC78" s="185" t="s">
        <v>39</v>
      </c>
      <c r="AD78" s="181">
        <v>288206723898</v>
      </c>
      <c r="AE78" s="181">
        <v>95899876281</v>
      </c>
      <c r="AF78" s="181">
        <v>0</v>
      </c>
      <c r="AG78" s="181">
        <v>0</v>
      </c>
      <c r="AH78" s="182">
        <v>384106600179</v>
      </c>
      <c r="AI78" s="181">
        <v>288964573063</v>
      </c>
      <c r="AJ78" s="181">
        <v>89436869798</v>
      </c>
      <c r="AK78" s="181">
        <v>0</v>
      </c>
      <c r="AL78" s="181">
        <v>0</v>
      </c>
      <c r="AM78" s="183">
        <v>378401442861</v>
      </c>
      <c r="AN78" s="184">
        <f t="shared" si="24"/>
        <v>89436869798</v>
      </c>
      <c r="AO78" s="184">
        <f t="shared" si="25"/>
        <v>95899876281</v>
      </c>
    </row>
    <row r="79" spans="12:43">
      <c r="L79" s="1">
        <v>2</v>
      </c>
      <c r="M79" s="317" t="s">
        <v>54</v>
      </c>
      <c r="N79" s="163">
        <v>35182</v>
      </c>
      <c r="O79" s="163">
        <f t="shared" si="23"/>
        <v>35981.229828000003</v>
      </c>
      <c r="P79" s="305">
        <f t="shared" si="18"/>
        <v>102.27170094934911</v>
      </c>
      <c r="Q79" s="306">
        <f t="shared" si="19"/>
        <v>6</v>
      </c>
      <c r="R79" s="241" t="str">
        <f t="shared" si="20"/>
        <v>0</v>
      </c>
      <c r="S79" s="166">
        <f>IF(S78-0.0033&lt;0,"0",S78-0.0033)</f>
        <v>6.5999999999999991E-3</v>
      </c>
      <c r="T79" s="307">
        <f t="shared" si="22"/>
        <v>6.0065999999999997</v>
      </c>
      <c r="U79" s="308"/>
      <c r="V79" s="303"/>
      <c r="W79" s="303"/>
      <c r="X79" s="303"/>
      <c r="AC79" s="185" t="s">
        <v>46</v>
      </c>
      <c r="AD79" s="181">
        <v>180143566410</v>
      </c>
      <c r="AE79" s="181">
        <v>48958861936</v>
      </c>
      <c r="AF79" s="181">
        <v>0</v>
      </c>
      <c r="AG79" s="181">
        <v>256315</v>
      </c>
      <c r="AH79" s="182">
        <v>229102684661</v>
      </c>
      <c r="AI79" s="181">
        <v>181094371748</v>
      </c>
      <c r="AJ79" s="181">
        <v>45098534549</v>
      </c>
      <c r="AK79" s="181">
        <v>0</v>
      </c>
      <c r="AL79" s="181">
        <v>918527</v>
      </c>
      <c r="AM79" s="183">
        <v>226193824824</v>
      </c>
      <c r="AN79" s="184">
        <f t="shared" si="24"/>
        <v>45099453076</v>
      </c>
      <c r="AO79" s="184">
        <f t="shared" si="25"/>
        <v>48959118251</v>
      </c>
      <c r="AP79" s="1" t="s">
        <v>186</v>
      </c>
      <c r="AQ79" s="1" t="s">
        <v>187</v>
      </c>
    </row>
    <row r="80" spans="12:43">
      <c r="L80" s="1">
        <v>2</v>
      </c>
      <c r="M80" s="317" t="s">
        <v>60</v>
      </c>
      <c r="N80" s="163">
        <v>21185</v>
      </c>
      <c r="O80" s="163">
        <f t="shared" si="23"/>
        <v>21572.060154999999</v>
      </c>
      <c r="P80" s="305">
        <f t="shared" si="18"/>
        <v>101.82704817087561</v>
      </c>
      <c r="Q80" s="306">
        <f t="shared" si="19"/>
        <v>6</v>
      </c>
      <c r="R80" s="241" t="str">
        <f t="shared" si="20"/>
        <v>0</v>
      </c>
      <c r="S80" s="166">
        <f t="shared" ref="S80:S89" si="26">IF(S79-0.0033&lt;0,"0",S79-0.0033)</f>
        <v>3.2999999999999991E-3</v>
      </c>
      <c r="T80" s="307">
        <f t="shared" si="22"/>
        <v>6.0033000000000003</v>
      </c>
      <c r="U80" s="308"/>
      <c r="V80" s="303"/>
      <c r="W80" s="303"/>
      <c r="X80" s="303"/>
      <c r="AC80" s="230" t="s">
        <v>31</v>
      </c>
      <c r="AD80" s="231">
        <v>186440685205</v>
      </c>
      <c r="AE80" s="231">
        <v>61848543621</v>
      </c>
      <c r="AF80" s="231">
        <v>0</v>
      </c>
      <c r="AG80" s="231">
        <v>0</v>
      </c>
      <c r="AH80" s="232">
        <v>248289228826</v>
      </c>
      <c r="AI80" s="231">
        <v>197982495434</v>
      </c>
      <c r="AJ80" s="231">
        <v>77429952514</v>
      </c>
      <c r="AK80" s="231">
        <v>21538496</v>
      </c>
      <c r="AL80" s="231">
        <v>0</v>
      </c>
      <c r="AM80" s="233">
        <v>275433986444</v>
      </c>
      <c r="AN80" s="234">
        <f t="shared" si="24"/>
        <v>77451491010</v>
      </c>
      <c r="AO80" s="234">
        <f t="shared" si="25"/>
        <v>61848543621</v>
      </c>
      <c r="AP80" s="235">
        <f>AN80+AN84</f>
        <v>127962928373</v>
      </c>
      <c r="AQ80" s="235">
        <f>AO80+AO84</f>
        <v>121335500980</v>
      </c>
    </row>
    <row r="81" spans="12:43">
      <c r="L81" s="1">
        <v>2</v>
      </c>
      <c r="M81" s="317" t="s">
        <v>67</v>
      </c>
      <c r="N81" s="163">
        <v>26692</v>
      </c>
      <c r="O81" s="163">
        <f t="shared" si="23"/>
        <v>26679.172422</v>
      </c>
      <c r="P81" s="305">
        <f t="shared" si="18"/>
        <v>99.951942237374482</v>
      </c>
      <c r="Q81" s="306">
        <f t="shared" si="19"/>
        <v>5.997116534242469</v>
      </c>
      <c r="R81" s="241" t="str">
        <f t="shared" si="20"/>
        <v/>
      </c>
      <c r="S81" s="166" t="str">
        <f t="shared" si="26"/>
        <v>0</v>
      </c>
      <c r="T81" s="307">
        <f t="shared" si="22"/>
        <v>5.997116534242469</v>
      </c>
      <c r="U81" s="308"/>
      <c r="V81" s="303"/>
      <c r="W81" s="303"/>
      <c r="X81" s="303"/>
      <c r="AC81" s="185" t="s">
        <v>42</v>
      </c>
      <c r="AD81" s="181">
        <v>247000279266</v>
      </c>
      <c r="AE81" s="181">
        <v>92618531514</v>
      </c>
      <c r="AF81" s="181">
        <v>0</v>
      </c>
      <c r="AG81" s="181">
        <v>0</v>
      </c>
      <c r="AH81" s="182">
        <v>339618810780</v>
      </c>
      <c r="AI81" s="181">
        <v>242777867980</v>
      </c>
      <c r="AJ81" s="181">
        <v>87519394674</v>
      </c>
      <c r="AK81" s="181">
        <v>0</v>
      </c>
      <c r="AL81" s="181">
        <v>0</v>
      </c>
      <c r="AM81" s="183">
        <v>330297262654</v>
      </c>
      <c r="AN81" s="184">
        <f t="shared" si="24"/>
        <v>87519394674</v>
      </c>
      <c r="AO81" s="184">
        <f t="shared" si="25"/>
        <v>92618531514</v>
      </c>
      <c r="AQ81" s="115">
        <f>AQ80/1000000</f>
        <v>121335.50098</v>
      </c>
    </row>
    <row r="82" spans="12:43">
      <c r="L82" s="1">
        <v>2</v>
      </c>
      <c r="M82" s="317" t="s">
        <v>56</v>
      </c>
      <c r="N82" s="163">
        <v>26497</v>
      </c>
      <c r="O82" s="163">
        <f t="shared" si="23"/>
        <v>26469.439880000002</v>
      </c>
      <c r="P82" s="305">
        <f t="shared" si="18"/>
        <v>99.895987772200627</v>
      </c>
      <c r="Q82" s="306">
        <f t="shared" si="19"/>
        <v>5.9937592663320371</v>
      </c>
      <c r="R82" s="241" t="str">
        <f t="shared" si="20"/>
        <v/>
      </c>
      <c r="S82" s="166" t="str">
        <f t="shared" si="26"/>
        <v>0</v>
      </c>
      <c r="T82" s="307">
        <f t="shared" si="22"/>
        <v>5.9937592663320371</v>
      </c>
      <c r="U82" s="308"/>
      <c r="V82" s="303"/>
      <c r="W82" s="303"/>
      <c r="X82" s="303"/>
      <c r="AC82" s="185" t="s">
        <v>36</v>
      </c>
      <c r="AD82" s="181">
        <v>104692885343</v>
      </c>
      <c r="AE82" s="181">
        <v>31686059475</v>
      </c>
      <c r="AF82" s="181">
        <v>0</v>
      </c>
      <c r="AG82" s="181">
        <v>0</v>
      </c>
      <c r="AH82" s="182">
        <v>136378944818</v>
      </c>
      <c r="AI82" s="181">
        <v>100604657193</v>
      </c>
      <c r="AJ82" s="181">
        <v>33806416556</v>
      </c>
      <c r="AK82" s="181">
        <v>0</v>
      </c>
      <c r="AL82" s="181">
        <v>0</v>
      </c>
      <c r="AM82" s="183">
        <v>134411073749</v>
      </c>
      <c r="AN82" s="184">
        <f t="shared" si="24"/>
        <v>33806416556</v>
      </c>
      <c r="AO82" s="184">
        <f t="shared" si="25"/>
        <v>31686059475</v>
      </c>
    </row>
    <row r="83" spans="12:43">
      <c r="L83" s="1">
        <v>2</v>
      </c>
      <c r="M83" s="317" t="s">
        <v>63</v>
      </c>
      <c r="N83" s="163">
        <v>18598</v>
      </c>
      <c r="O83" s="163">
        <f t="shared" si="23"/>
        <v>18511.132745999999</v>
      </c>
      <c r="P83" s="305">
        <f t="shared" si="18"/>
        <v>99.532921529196685</v>
      </c>
      <c r="Q83" s="306">
        <f t="shared" si="19"/>
        <v>5.971975291751801</v>
      </c>
      <c r="R83" s="241" t="str">
        <f t="shared" si="20"/>
        <v/>
      </c>
      <c r="S83" s="166" t="str">
        <f t="shared" si="26"/>
        <v>0</v>
      </c>
      <c r="T83" s="307">
        <f t="shared" si="22"/>
        <v>5.971975291751801</v>
      </c>
      <c r="U83" s="308"/>
      <c r="V83" s="303"/>
      <c r="W83" s="303"/>
      <c r="X83" s="303"/>
      <c r="AC83" s="185" t="s">
        <v>35</v>
      </c>
      <c r="AD83" s="181">
        <v>238327172151</v>
      </c>
      <c r="AE83" s="181">
        <v>61994856182</v>
      </c>
      <c r="AF83" s="181">
        <v>83848904</v>
      </c>
      <c r="AG83" s="181">
        <v>0</v>
      </c>
      <c r="AH83" s="182">
        <v>300405877237</v>
      </c>
      <c r="AI83" s="181">
        <v>245898017297</v>
      </c>
      <c r="AJ83" s="181">
        <v>57713237687</v>
      </c>
      <c r="AK83" s="181">
        <v>68920329</v>
      </c>
      <c r="AL83" s="181">
        <v>0</v>
      </c>
      <c r="AM83" s="183">
        <v>303680175313</v>
      </c>
      <c r="AN83" s="184">
        <f t="shared" si="24"/>
        <v>57782158016</v>
      </c>
      <c r="AO83" s="184">
        <f t="shared" si="25"/>
        <v>62078705086</v>
      </c>
    </row>
    <row r="84" spans="12:43">
      <c r="L84" s="1">
        <v>2</v>
      </c>
      <c r="M84" s="317" t="s">
        <v>64</v>
      </c>
      <c r="N84" s="163">
        <v>21628</v>
      </c>
      <c r="O84" s="163">
        <f t="shared" si="23"/>
        <v>21252.886484999999</v>
      </c>
      <c r="P84" s="305">
        <f t="shared" si="18"/>
        <v>98.265611637691876</v>
      </c>
      <c r="Q84" s="306">
        <f t="shared" si="19"/>
        <v>5.8959366982615125</v>
      </c>
      <c r="R84" s="241" t="str">
        <f t="shared" si="20"/>
        <v/>
      </c>
      <c r="S84" s="166" t="str">
        <f t="shared" si="26"/>
        <v>0</v>
      </c>
      <c r="T84" s="307">
        <f t="shared" si="22"/>
        <v>5.8959366982615125</v>
      </c>
      <c r="U84" s="308"/>
      <c r="V84" s="303"/>
      <c r="W84" s="303"/>
      <c r="X84" s="303"/>
      <c r="AC84" s="230" t="s">
        <v>174</v>
      </c>
      <c r="AD84" s="231">
        <v>163072821673</v>
      </c>
      <c r="AE84" s="231">
        <v>59458782239</v>
      </c>
      <c r="AF84" s="231">
        <v>28175120</v>
      </c>
      <c r="AG84" s="231">
        <v>0</v>
      </c>
      <c r="AH84" s="232">
        <v>222559779032</v>
      </c>
      <c r="AI84" s="231">
        <v>147878350817</v>
      </c>
      <c r="AJ84" s="231">
        <v>50510336112</v>
      </c>
      <c r="AK84" s="231">
        <v>1101251</v>
      </c>
      <c r="AL84" s="231">
        <v>0</v>
      </c>
      <c r="AM84" s="233">
        <v>198389788180</v>
      </c>
      <c r="AN84" s="234">
        <f t="shared" si="24"/>
        <v>50511437363</v>
      </c>
      <c r="AO84" s="234">
        <f t="shared" si="25"/>
        <v>59486957359</v>
      </c>
    </row>
    <row r="85" spans="12:43">
      <c r="L85" s="1">
        <v>2</v>
      </c>
      <c r="M85" s="317" t="s">
        <v>66</v>
      </c>
      <c r="N85" s="163">
        <v>20444</v>
      </c>
      <c r="O85" s="163">
        <f t="shared" si="23"/>
        <v>20040.048232000001</v>
      </c>
      <c r="P85" s="305">
        <f t="shared" si="18"/>
        <v>98.024106006652318</v>
      </c>
      <c r="Q85" s="306">
        <f t="shared" si="19"/>
        <v>5.8814463603991385</v>
      </c>
      <c r="R85" s="241" t="str">
        <f t="shared" si="20"/>
        <v/>
      </c>
      <c r="S85" s="166" t="str">
        <f t="shared" si="26"/>
        <v>0</v>
      </c>
      <c r="T85" s="307">
        <f t="shared" si="22"/>
        <v>5.8814463603991385</v>
      </c>
      <c r="U85" s="308"/>
      <c r="V85" s="303"/>
      <c r="W85" s="303"/>
      <c r="X85" s="303"/>
      <c r="AC85" s="185" t="s">
        <v>37</v>
      </c>
      <c r="AD85" s="181">
        <v>224066137744</v>
      </c>
      <c r="AE85" s="181">
        <v>44996658732</v>
      </c>
      <c r="AF85" s="181">
        <v>61586640</v>
      </c>
      <c r="AG85" s="181">
        <v>0</v>
      </c>
      <c r="AH85" s="182">
        <v>269124383116</v>
      </c>
      <c r="AI85" s="181">
        <v>225189249911</v>
      </c>
      <c r="AJ85" s="181">
        <v>43031306343</v>
      </c>
      <c r="AK85" s="181">
        <v>46439994</v>
      </c>
      <c r="AL85" s="181">
        <v>0</v>
      </c>
      <c r="AM85" s="183">
        <v>268266996248</v>
      </c>
      <c r="AN85" s="184">
        <f t="shared" si="24"/>
        <v>43077746337</v>
      </c>
      <c r="AO85" s="184">
        <f t="shared" si="25"/>
        <v>45058245372</v>
      </c>
    </row>
    <row r="86" spans="12:43">
      <c r="L86" s="1">
        <v>2</v>
      </c>
      <c r="M86" s="317" t="s">
        <v>57</v>
      </c>
      <c r="N86" s="163">
        <v>20737</v>
      </c>
      <c r="O86" s="163">
        <f t="shared" si="23"/>
        <v>20216.477986000002</v>
      </c>
      <c r="P86" s="305">
        <f t="shared" si="18"/>
        <v>97.489887572937263</v>
      </c>
      <c r="Q86" s="306">
        <f t="shared" si="19"/>
        <v>5.8493932543762357</v>
      </c>
      <c r="R86" s="241" t="str">
        <f t="shared" si="20"/>
        <v/>
      </c>
      <c r="S86" s="166" t="str">
        <f t="shared" si="26"/>
        <v>0</v>
      </c>
      <c r="T86" s="307">
        <f t="shared" si="22"/>
        <v>5.8493932543762357</v>
      </c>
      <c r="U86" s="308"/>
      <c r="V86" s="303"/>
      <c r="W86" s="303"/>
      <c r="X86" s="303"/>
      <c r="AC86" s="185" t="s">
        <v>38</v>
      </c>
      <c r="AD86" s="181">
        <v>378317243383</v>
      </c>
      <c r="AE86" s="181">
        <v>79379488484</v>
      </c>
      <c r="AF86" s="181">
        <v>4149874522</v>
      </c>
      <c r="AG86" s="181">
        <v>0</v>
      </c>
      <c r="AH86" s="182">
        <v>461846606389</v>
      </c>
      <c r="AI86" s="181">
        <v>374247969695</v>
      </c>
      <c r="AJ86" s="181">
        <v>73314651583</v>
      </c>
      <c r="AK86" s="181">
        <v>4783611495</v>
      </c>
      <c r="AL86" s="181">
        <v>0</v>
      </c>
      <c r="AM86" s="183">
        <v>452346232773</v>
      </c>
      <c r="AN86" s="184">
        <f t="shared" si="24"/>
        <v>78098263078</v>
      </c>
      <c r="AO86" s="184">
        <f t="shared" si="25"/>
        <v>83529363006</v>
      </c>
    </row>
    <row r="87" spans="12:43">
      <c r="L87" s="1">
        <v>2</v>
      </c>
      <c r="M87" s="317" t="s">
        <v>62</v>
      </c>
      <c r="N87" s="163">
        <v>20863</v>
      </c>
      <c r="O87" s="163">
        <f t="shared" si="23"/>
        <v>20303.624392999998</v>
      </c>
      <c r="P87" s="305">
        <f t="shared" si="18"/>
        <v>97.318815093706561</v>
      </c>
      <c r="Q87" s="306">
        <f t="shared" si="19"/>
        <v>5.8391289056223936</v>
      </c>
      <c r="R87" s="241" t="str">
        <f t="shared" si="20"/>
        <v/>
      </c>
      <c r="S87" s="166" t="str">
        <f t="shared" si="26"/>
        <v>0</v>
      </c>
      <c r="T87" s="307">
        <f t="shared" si="22"/>
        <v>5.8391289056223936</v>
      </c>
      <c r="U87" s="308"/>
      <c r="V87" s="303"/>
      <c r="W87" s="303"/>
      <c r="X87" s="303"/>
      <c r="AC87" s="185" t="s">
        <v>40</v>
      </c>
      <c r="AD87" s="181">
        <v>801853269633</v>
      </c>
      <c r="AE87" s="181">
        <v>81354628491</v>
      </c>
      <c r="AF87" s="181">
        <v>0</v>
      </c>
      <c r="AG87" s="181">
        <v>0</v>
      </c>
      <c r="AH87" s="182">
        <v>883207898124</v>
      </c>
      <c r="AI87" s="181">
        <v>725413153041</v>
      </c>
      <c r="AJ87" s="181">
        <v>78867309118</v>
      </c>
      <c r="AK87" s="181">
        <v>0</v>
      </c>
      <c r="AL87" s="181">
        <v>0</v>
      </c>
      <c r="AM87" s="183">
        <v>804280462159</v>
      </c>
      <c r="AN87" s="184">
        <f t="shared" si="24"/>
        <v>78867309118</v>
      </c>
      <c r="AO87" s="184">
        <f t="shared" si="25"/>
        <v>81354628491</v>
      </c>
    </row>
    <row r="88" spans="12:43">
      <c r="L88" s="1">
        <v>2</v>
      </c>
      <c r="M88" s="317" t="s">
        <v>65</v>
      </c>
      <c r="N88" s="163">
        <v>7812</v>
      </c>
      <c r="O88" s="163">
        <f t="shared" si="23"/>
        <v>7582.5077940000001</v>
      </c>
      <c r="P88" s="305">
        <f t="shared" si="18"/>
        <v>97.062311751152066</v>
      </c>
      <c r="Q88" s="306">
        <f t="shared" si="19"/>
        <v>5.8237387050691236</v>
      </c>
      <c r="R88" s="241" t="str">
        <f t="shared" si="20"/>
        <v/>
      </c>
      <c r="S88" s="166" t="str">
        <f t="shared" si="26"/>
        <v>0</v>
      </c>
      <c r="T88" s="307">
        <f t="shared" si="22"/>
        <v>5.8237387050691236</v>
      </c>
      <c r="U88" s="308"/>
      <c r="V88" s="303"/>
      <c r="W88" s="303"/>
      <c r="X88" s="303"/>
      <c r="AC88" s="185" t="s">
        <v>43</v>
      </c>
      <c r="AD88" s="181">
        <v>270621492537</v>
      </c>
      <c r="AE88" s="181">
        <v>58284517959</v>
      </c>
      <c r="AF88" s="181">
        <v>0</v>
      </c>
      <c r="AG88" s="181">
        <v>0</v>
      </c>
      <c r="AH88" s="182">
        <v>328906010496</v>
      </c>
      <c r="AI88" s="181">
        <v>263847442837</v>
      </c>
      <c r="AJ88" s="181">
        <v>54734779171</v>
      </c>
      <c r="AK88" s="181">
        <v>0</v>
      </c>
      <c r="AL88" s="181">
        <v>0</v>
      </c>
      <c r="AM88" s="183">
        <v>318582222008</v>
      </c>
      <c r="AN88" s="184">
        <f t="shared" si="24"/>
        <v>54734779171</v>
      </c>
      <c r="AO88" s="184">
        <f t="shared" si="25"/>
        <v>58284517959</v>
      </c>
    </row>
    <row r="89" spans="12:43">
      <c r="L89" s="1">
        <v>2</v>
      </c>
      <c r="M89" s="317" t="s">
        <v>55</v>
      </c>
      <c r="N89" s="163">
        <v>25162</v>
      </c>
      <c r="O89" s="163">
        <f t="shared" si="23"/>
        <v>23268.551044</v>
      </c>
      <c r="P89" s="305">
        <f t="shared" si="18"/>
        <v>92.474966393768383</v>
      </c>
      <c r="Q89" s="306">
        <f t="shared" si="19"/>
        <v>5.5484979836261026</v>
      </c>
      <c r="R89" s="241" t="str">
        <f t="shared" si="20"/>
        <v/>
      </c>
      <c r="S89" s="166" t="str">
        <f t="shared" si="26"/>
        <v>0</v>
      </c>
      <c r="T89" s="307">
        <f t="shared" si="22"/>
        <v>5.5484979836261026</v>
      </c>
      <c r="U89" s="308"/>
      <c r="V89" s="303"/>
      <c r="W89" s="303"/>
      <c r="X89" s="303"/>
      <c r="AC89" s="185" t="s">
        <v>29</v>
      </c>
      <c r="AD89" s="181">
        <v>184308915152</v>
      </c>
      <c r="AE89" s="181">
        <v>57038729383</v>
      </c>
      <c r="AF89" s="181">
        <v>61358239</v>
      </c>
      <c r="AG89" s="181">
        <v>0</v>
      </c>
      <c r="AH89" s="182">
        <v>241409002774</v>
      </c>
      <c r="AI89" s="181">
        <v>184806741162</v>
      </c>
      <c r="AJ89" s="181">
        <v>56695203828</v>
      </c>
      <c r="AK89" s="181">
        <v>41608804</v>
      </c>
      <c r="AL89" s="181">
        <v>0</v>
      </c>
      <c r="AM89" s="183">
        <v>241543553794</v>
      </c>
      <c r="AN89" s="184">
        <f t="shared" si="24"/>
        <v>56736812632</v>
      </c>
      <c r="AO89" s="184">
        <f t="shared" si="25"/>
        <v>57100087622</v>
      </c>
    </row>
    <row r="90" spans="12:43" ht="17.25" thickBot="1">
      <c r="M90" s="318" t="s">
        <v>182</v>
      </c>
      <c r="N90" s="319">
        <v>1943900</v>
      </c>
      <c r="O90" s="319"/>
      <c r="P90" s="319"/>
      <c r="Q90" s="320"/>
      <c r="R90" s="321"/>
      <c r="S90" s="320"/>
      <c r="T90" s="322"/>
      <c r="U90" s="323"/>
      <c r="V90" s="324"/>
      <c r="W90" s="324"/>
      <c r="X90" s="324"/>
      <c r="AC90" s="185" t="s">
        <v>41</v>
      </c>
      <c r="AD90" s="181">
        <v>360325327578</v>
      </c>
      <c r="AE90" s="181">
        <v>111435078320</v>
      </c>
      <c r="AF90" s="181">
        <v>0</v>
      </c>
      <c r="AG90" s="181">
        <v>557755</v>
      </c>
      <c r="AH90" s="182">
        <v>471760963653</v>
      </c>
      <c r="AI90" s="181">
        <v>356637025043</v>
      </c>
      <c r="AJ90" s="181">
        <v>105185134178</v>
      </c>
      <c r="AK90" s="181">
        <v>0</v>
      </c>
      <c r="AL90" s="181">
        <v>532439</v>
      </c>
      <c r="AM90" s="183">
        <v>461822691660</v>
      </c>
      <c r="AN90" s="184">
        <f t="shared" si="24"/>
        <v>105185666617</v>
      </c>
      <c r="AO90" s="184">
        <f t="shared" si="25"/>
        <v>111435636075</v>
      </c>
    </row>
    <row r="91" spans="12:43">
      <c r="AC91" s="185" t="s">
        <v>44</v>
      </c>
      <c r="AD91" s="181">
        <v>214828966212</v>
      </c>
      <c r="AE91" s="181">
        <v>51362166621</v>
      </c>
      <c r="AF91" s="181">
        <v>0</v>
      </c>
      <c r="AG91" s="181">
        <v>0</v>
      </c>
      <c r="AH91" s="182">
        <v>266191132833</v>
      </c>
      <c r="AI91" s="181">
        <v>212709854277</v>
      </c>
      <c r="AJ91" s="181">
        <v>48712930776</v>
      </c>
      <c r="AK91" s="181">
        <v>0</v>
      </c>
      <c r="AL91" s="181">
        <v>0</v>
      </c>
      <c r="AM91" s="183">
        <v>261422785053</v>
      </c>
      <c r="AN91" s="184">
        <f t="shared" si="24"/>
        <v>48712930776</v>
      </c>
      <c r="AO91" s="184">
        <f t="shared" si="25"/>
        <v>51362166621</v>
      </c>
    </row>
    <row r="92" spans="12:43">
      <c r="AC92" s="185" t="s">
        <v>30</v>
      </c>
      <c r="AD92" s="181">
        <v>137211687321</v>
      </c>
      <c r="AE92" s="181">
        <v>39667411329</v>
      </c>
      <c r="AF92" s="181">
        <v>71773062</v>
      </c>
      <c r="AG92" s="181">
        <v>0</v>
      </c>
      <c r="AH92" s="182">
        <v>176950871712</v>
      </c>
      <c r="AI92" s="181">
        <v>134924481265</v>
      </c>
      <c r="AJ92" s="181">
        <v>38121321012</v>
      </c>
      <c r="AK92" s="181">
        <v>49083721</v>
      </c>
      <c r="AL92" s="181">
        <v>0</v>
      </c>
      <c r="AM92" s="183">
        <v>173094885998</v>
      </c>
      <c r="AN92" s="184">
        <f t="shared" si="24"/>
        <v>38170404733</v>
      </c>
      <c r="AO92" s="184">
        <f t="shared" si="25"/>
        <v>39739184391</v>
      </c>
    </row>
    <row r="93" spans="12:43">
      <c r="AC93" s="185" t="s">
        <v>47</v>
      </c>
      <c r="AD93" s="181">
        <v>268609189303</v>
      </c>
      <c r="AE93" s="181">
        <v>44869320465</v>
      </c>
      <c r="AF93" s="181">
        <v>52885150</v>
      </c>
      <c r="AG93" s="181">
        <v>0</v>
      </c>
      <c r="AH93" s="182">
        <v>313531394918</v>
      </c>
      <c r="AI93" s="181">
        <v>265949626656</v>
      </c>
      <c r="AJ93" s="181">
        <v>38186248425</v>
      </c>
      <c r="AK93" s="181">
        <v>40387822</v>
      </c>
      <c r="AL93" s="181">
        <v>0</v>
      </c>
      <c r="AM93" s="183">
        <v>304176262903</v>
      </c>
      <c r="AN93" s="184">
        <f t="shared" si="24"/>
        <v>38226636247</v>
      </c>
      <c r="AO93" s="184">
        <f t="shared" si="25"/>
        <v>44922205615</v>
      </c>
    </row>
    <row r="94" spans="12:43">
      <c r="AC94" s="185" t="s">
        <v>48</v>
      </c>
      <c r="AD94" s="181">
        <v>116932477664</v>
      </c>
      <c r="AE94" s="181">
        <v>36850655162</v>
      </c>
      <c r="AF94" s="181">
        <v>0</v>
      </c>
      <c r="AG94" s="181">
        <v>0</v>
      </c>
      <c r="AH94" s="182">
        <v>153783132826</v>
      </c>
      <c r="AI94" s="181">
        <v>117109318762</v>
      </c>
      <c r="AJ94" s="181">
        <v>35706210261</v>
      </c>
      <c r="AK94" s="181">
        <v>0</v>
      </c>
      <c r="AL94" s="181">
        <v>0</v>
      </c>
      <c r="AM94" s="183">
        <v>152815529023</v>
      </c>
      <c r="AN94" s="184">
        <f t="shared" si="24"/>
        <v>35706210261</v>
      </c>
      <c r="AO94" s="184">
        <f t="shared" si="25"/>
        <v>36850655162</v>
      </c>
    </row>
    <row r="95" spans="12:43">
      <c r="AC95" s="185" t="s">
        <v>51</v>
      </c>
      <c r="AD95" s="181">
        <v>171490155037</v>
      </c>
      <c r="AE95" s="181">
        <v>53352711866</v>
      </c>
      <c r="AF95" s="181">
        <v>0</v>
      </c>
      <c r="AG95" s="181">
        <v>0</v>
      </c>
      <c r="AH95" s="182">
        <v>224842866903</v>
      </c>
      <c r="AI95" s="181">
        <v>166981981536</v>
      </c>
      <c r="AJ95" s="181">
        <v>51180980374</v>
      </c>
      <c r="AK95" s="181">
        <v>0</v>
      </c>
      <c r="AL95" s="181">
        <v>0</v>
      </c>
      <c r="AM95" s="183">
        <v>218162961910</v>
      </c>
      <c r="AN95" s="184">
        <f t="shared" si="24"/>
        <v>51180980374</v>
      </c>
      <c r="AO95" s="184">
        <f t="shared" si="25"/>
        <v>53352711866</v>
      </c>
    </row>
    <row r="96" spans="12:43">
      <c r="AC96" s="182" t="s">
        <v>182</v>
      </c>
      <c r="AD96" s="182">
        <v>7459877846866</v>
      </c>
      <c r="AE96" s="182">
        <v>2020062775116</v>
      </c>
      <c r="AF96" s="182">
        <v>5215341351</v>
      </c>
      <c r="AG96" s="182">
        <v>814356</v>
      </c>
      <c r="AH96" s="182">
        <v>9485156777689</v>
      </c>
      <c r="AI96" s="182">
        <v>7363937558347</v>
      </c>
      <c r="AJ96" s="182">
        <v>1935150295165</v>
      </c>
      <c r="AK96" s="182">
        <v>5690020532</v>
      </c>
      <c r="AL96" s="182">
        <v>1451252</v>
      </c>
      <c r="AM96" s="183">
        <v>9304779325296</v>
      </c>
      <c r="AN96" s="184">
        <f t="shared" si="24"/>
        <v>1940841766949</v>
      </c>
      <c r="AO96" s="184">
        <f t="shared" si="25"/>
        <v>2025278930823</v>
      </c>
    </row>
    <row r="97" spans="30:39">
      <c r="AD97" s="182">
        <v>7459877846866</v>
      </c>
      <c r="AE97" s="182">
        <v>2020062775116</v>
      </c>
      <c r="AF97" s="182">
        <v>5215341351</v>
      </c>
      <c r="AG97" s="182">
        <v>814356</v>
      </c>
      <c r="AH97" s="182">
        <v>9485156777689</v>
      </c>
      <c r="AI97" s="182">
        <v>7363937558347</v>
      </c>
      <c r="AJ97" s="182">
        <v>1935150295165</v>
      </c>
      <c r="AK97" s="182">
        <v>5690020532</v>
      </c>
      <c r="AL97" s="182">
        <v>1451252</v>
      </c>
      <c r="AM97" s="183">
        <v>9304779325296</v>
      </c>
    </row>
  </sheetData>
  <mergeCells count="21">
    <mergeCell ref="C1:Z2"/>
    <mergeCell ref="V3:Z3"/>
    <mergeCell ref="A4:A5"/>
    <mergeCell ref="C4:C5"/>
    <mergeCell ref="D4:K4"/>
    <mergeCell ref="L4:L5"/>
    <mergeCell ref="M4:M5"/>
    <mergeCell ref="N4:Z4"/>
    <mergeCell ref="AC6:AC7"/>
    <mergeCell ref="AD6:AH6"/>
    <mergeCell ref="AI6:AM6"/>
    <mergeCell ref="A14:A23"/>
    <mergeCell ref="AI53:AM53"/>
    <mergeCell ref="A34:A39"/>
    <mergeCell ref="A40:A45"/>
    <mergeCell ref="M48:M49"/>
    <mergeCell ref="N48:U48"/>
    <mergeCell ref="AC53:AC54"/>
    <mergeCell ref="AD53:AH53"/>
    <mergeCell ref="A24:A33"/>
    <mergeCell ref="A6:A1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Y93"/>
  <sheetViews>
    <sheetView workbookViewId="0">
      <selection activeCell="W1" sqref="W1:Y1048576"/>
    </sheetView>
  </sheetViews>
  <sheetFormatPr defaultRowHeight="16.5"/>
  <cols>
    <col min="1" max="1" width="11.125" style="1" bestFit="1" customWidth="1"/>
    <col min="2" max="2" width="12.375" style="1" customWidth="1"/>
    <col min="3" max="3" width="11.875" style="1" customWidth="1"/>
    <col min="4" max="4" width="9.875" style="1" customWidth="1"/>
    <col min="5" max="5" width="10.625" style="1" customWidth="1"/>
    <col min="6" max="6" width="10.5" style="1" customWidth="1"/>
    <col min="7" max="7" width="9.125" style="1" customWidth="1"/>
    <col min="8" max="8" width="9.625" style="1" customWidth="1"/>
    <col min="9" max="10" width="9.125" style="1" customWidth="1"/>
    <col min="11" max="12" width="10.375" style="1" customWidth="1"/>
    <col min="13" max="13" width="6.125" style="1" customWidth="1"/>
    <col min="14" max="16" width="9" style="1" hidden="1" customWidth="1"/>
    <col min="17" max="17" width="12.375" style="1" hidden="1" customWidth="1"/>
    <col min="18" max="20" width="9" style="1" hidden="1" customWidth="1"/>
    <col min="21" max="21" width="9.125" style="1" hidden="1" customWidth="1"/>
    <col min="22" max="22" width="10.25" style="1" hidden="1" customWidth="1"/>
    <col min="23" max="24" width="9" style="439" customWidth="1"/>
    <col min="25" max="25" width="9" style="439"/>
    <col min="26" max="16384" width="9" style="1"/>
  </cols>
  <sheetData>
    <row r="1" spans="1:21" s="439" customFormat="1" ht="31.5">
      <c r="A1" s="643" t="s">
        <v>188</v>
      </c>
      <c r="B1" s="643"/>
      <c r="C1" s="643"/>
      <c r="D1" s="643"/>
      <c r="E1" s="643"/>
      <c r="F1" s="643"/>
      <c r="G1" s="643"/>
      <c r="H1" s="643"/>
      <c r="I1" s="643"/>
      <c r="J1" s="643"/>
      <c r="K1" s="643"/>
      <c r="L1" s="643"/>
      <c r="M1" s="643"/>
    </row>
    <row r="2" spans="1:21" s="439" customFormat="1" ht="17.25" thickBot="1">
      <c r="A2" s="524">
        <f>[1]종합점수!A2</f>
        <v>42216</v>
      </c>
      <c r="L2" s="644" t="s">
        <v>189</v>
      </c>
      <c r="M2" s="644"/>
      <c r="O2" s="439" t="s">
        <v>190</v>
      </c>
      <c r="S2" s="439" t="s">
        <v>190</v>
      </c>
    </row>
    <row r="3" spans="1:21">
      <c r="A3" s="645" t="s">
        <v>191</v>
      </c>
      <c r="B3" s="647" t="s">
        <v>192</v>
      </c>
      <c r="C3" s="648"/>
      <c r="D3" s="648"/>
      <c r="E3" s="325"/>
      <c r="F3" s="649" t="s">
        <v>193</v>
      </c>
      <c r="G3" s="648"/>
      <c r="H3" s="648"/>
      <c r="I3" s="648"/>
      <c r="J3" s="650"/>
      <c r="K3" s="651" t="s">
        <v>194</v>
      </c>
      <c r="L3" s="653" t="s">
        <v>195</v>
      </c>
      <c r="M3" s="655" t="s">
        <v>72</v>
      </c>
      <c r="O3" s="1" t="s">
        <v>196</v>
      </c>
      <c r="S3" s="1" t="s">
        <v>197</v>
      </c>
    </row>
    <row r="4" spans="1:21" ht="34.5" thickBot="1">
      <c r="A4" s="646"/>
      <c r="B4" s="326" t="s">
        <v>13</v>
      </c>
      <c r="C4" s="326" t="s">
        <v>14</v>
      </c>
      <c r="D4" s="326" t="s">
        <v>15</v>
      </c>
      <c r="E4" s="327" t="s">
        <v>115</v>
      </c>
      <c r="F4" s="328" t="s">
        <v>193</v>
      </c>
      <c r="G4" s="329" t="s">
        <v>198</v>
      </c>
      <c r="H4" s="329" t="s">
        <v>115</v>
      </c>
      <c r="I4" s="330" t="s">
        <v>199</v>
      </c>
      <c r="J4" s="331" t="s">
        <v>200</v>
      </c>
      <c r="K4" s="652"/>
      <c r="L4" s="654"/>
      <c r="M4" s="656"/>
      <c r="O4" s="332"/>
      <c r="P4" s="333" t="s">
        <v>201</v>
      </c>
      <c r="Q4" s="334" t="s">
        <v>202</v>
      </c>
      <c r="S4" s="335"/>
      <c r="T4" s="336" t="s">
        <v>201</v>
      </c>
      <c r="U4" s="334" t="s">
        <v>203</v>
      </c>
    </row>
    <row r="5" spans="1:21">
      <c r="A5" s="337" t="s">
        <v>28</v>
      </c>
      <c r="B5" s="338">
        <v>302599</v>
      </c>
      <c r="C5" s="339">
        <f>VLOOKUP(A5,$O$5:$Q$45,3,FALSE)/1000</f>
        <v>225199.576</v>
      </c>
      <c r="D5" s="340">
        <f>C5/B5%</f>
        <v>74.421784606029775</v>
      </c>
      <c r="E5" s="341">
        <f>(VLOOKUP(A5,$O$5:$Q$45,3,FALSE)-VLOOKUP(A5,$O$51:$Q$91,3,FALSE))/1000</f>
        <v>1345.2929999999999</v>
      </c>
      <c r="F5" s="342">
        <f t="shared" ref="F5:F44" si="0">VLOOKUP(A5,$S$5:$U$45,3,FALSE)/1000</f>
        <v>7718.7529999999997</v>
      </c>
      <c r="G5" s="343">
        <f>F5/C5%</f>
        <v>3.4275166663724095</v>
      </c>
      <c r="H5" s="341">
        <f>(VLOOKUP(A5,$S$5:$U$45,3,FALSE)-VLOOKUP(A5,$S$51:$U$91,3,FALSE))/1000</f>
        <v>57.734999999999999</v>
      </c>
      <c r="I5" s="344">
        <f>IF(G5&gt;6,0,0.0013)</f>
        <v>1.2999999999999999E-3</v>
      </c>
      <c r="J5" s="345">
        <f>IF(G5&gt;6,0,0.03)</f>
        <v>0.03</v>
      </c>
      <c r="K5" s="346">
        <f>IF(D5&gt;=100,4,D5*0.04)-I5</f>
        <v>2.9755713842411908</v>
      </c>
      <c r="L5" s="346">
        <f>IF(D5&gt;=100,30,D5*0.3)-J5</f>
        <v>22.29653538180893</v>
      </c>
      <c r="M5" s="347">
        <f>RANK(L5,$L$5:$L$44)</f>
        <v>1</v>
      </c>
      <c r="O5" s="641" t="s">
        <v>49</v>
      </c>
      <c r="P5" s="642"/>
      <c r="Q5" s="348">
        <v>188527186</v>
      </c>
      <c r="S5" s="641" t="s">
        <v>49</v>
      </c>
      <c r="T5" s="642"/>
      <c r="U5" s="348">
        <v>9183348</v>
      </c>
    </row>
    <row r="6" spans="1:21">
      <c r="A6" s="349" t="s">
        <v>29</v>
      </c>
      <c r="B6" s="350">
        <v>238942</v>
      </c>
      <c r="C6" s="351">
        <f t="shared" ref="C6:C44" si="1">VLOOKUP(A6,$O$5:$Q$45,3,FALSE)/1000</f>
        <v>124139.98299999999</v>
      </c>
      <c r="D6" s="352">
        <f t="shared" ref="D6:D44" si="2">C6/B6%</f>
        <v>51.954023570573611</v>
      </c>
      <c r="E6" s="341">
        <f t="shared" ref="E6:E44" si="3">(VLOOKUP(A6,$O$5:$Q$45,3,FALSE)-VLOOKUP(A6,$O$51:$Q$91,3,FALSE))/1000</f>
        <v>596.42200000000003</v>
      </c>
      <c r="F6" s="353">
        <f t="shared" si="0"/>
        <v>6538.6450000000004</v>
      </c>
      <c r="G6" s="354">
        <f t="shared" ref="G6:G44" si="4">F6/C6%</f>
        <v>5.2671547409507875</v>
      </c>
      <c r="H6" s="341">
        <f t="shared" ref="H6:H44" si="5">(VLOOKUP(A6,$S$5:$U$45,3,FALSE)-VLOOKUP(A6,$S$51:$U$91,3,FALSE))/1000</f>
        <v>74.100999999999999</v>
      </c>
      <c r="I6" s="344">
        <f t="shared" ref="I6:I44" si="6">IF(G6&gt;6,0,0.0013)</f>
        <v>1.2999999999999999E-3</v>
      </c>
      <c r="J6" s="355">
        <f t="shared" ref="J6:J44" si="7">IF(G6&gt;6,0,0.03)</f>
        <v>0.03</v>
      </c>
      <c r="K6" s="356">
        <f t="shared" ref="K6:K44" si="8">IF(D6&gt;=100,4,D6*0.04)-I6</f>
        <v>2.0768609428229445</v>
      </c>
      <c r="L6" s="356">
        <f t="shared" ref="L6:L44" si="9">IF(D6&gt;=100,30,D6*0.3)-J6</f>
        <v>15.556207071172084</v>
      </c>
      <c r="M6" s="357">
        <f t="shared" ref="M6:M44" si="10">RANK(L6,$L$5:$L$44)</f>
        <v>13</v>
      </c>
      <c r="O6" s="635" t="s">
        <v>28</v>
      </c>
      <c r="P6" s="636"/>
      <c r="Q6" s="348">
        <v>225199576</v>
      </c>
      <c r="S6" s="635" t="s">
        <v>28</v>
      </c>
      <c r="T6" s="636"/>
      <c r="U6" s="348">
        <v>7718753</v>
      </c>
    </row>
    <row r="7" spans="1:21">
      <c r="A7" s="349" t="s">
        <v>30</v>
      </c>
      <c r="B7" s="350">
        <v>166288</v>
      </c>
      <c r="C7" s="351">
        <f t="shared" si="1"/>
        <v>82829.684999999998</v>
      </c>
      <c r="D7" s="352">
        <f t="shared" si="2"/>
        <v>49.810981550081785</v>
      </c>
      <c r="E7" s="341">
        <f t="shared" si="3"/>
        <v>443.76600000000002</v>
      </c>
      <c r="F7" s="353">
        <f t="shared" si="0"/>
        <v>4453.0469999999996</v>
      </c>
      <c r="G7" s="354">
        <f t="shared" si="4"/>
        <v>5.3761486597468044</v>
      </c>
      <c r="H7" s="341">
        <f t="shared" si="5"/>
        <v>31.626000000000001</v>
      </c>
      <c r="I7" s="344">
        <f t="shared" si="6"/>
        <v>1.2999999999999999E-3</v>
      </c>
      <c r="J7" s="355">
        <f t="shared" si="7"/>
        <v>0.03</v>
      </c>
      <c r="K7" s="356">
        <f t="shared" si="8"/>
        <v>1.9911392620032713</v>
      </c>
      <c r="L7" s="356">
        <f t="shared" si="9"/>
        <v>14.913294465024535</v>
      </c>
      <c r="M7" s="357">
        <f t="shared" si="10"/>
        <v>32</v>
      </c>
      <c r="O7" s="635" t="s">
        <v>32</v>
      </c>
      <c r="P7" s="636"/>
      <c r="Q7" s="348">
        <v>146866096</v>
      </c>
      <c r="S7" s="635" t="s">
        <v>32</v>
      </c>
      <c r="T7" s="636"/>
      <c r="U7" s="348">
        <v>9152993</v>
      </c>
    </row>
    <row r="8" spans="1:21">
      <c r="A8" s="349" t="s">
        <v>31</v>
      </c>
      <c r="B8" s="350">
        <v>471032</v>
      </c>
      <c r="C8" s="351">
        <f>VLOOKUP(A8,$O$30:$R$30,4,FALSE)/1000</f>
        <v>237153.94399999999</v>
      </c>
      <c r="D8" s="352">
        <f t="shared" si="2"/>
        <v>50.34773518571987</v>
      </c>
      <c r="E8" s="341">
        <f>((VLOOKUP(A8,$O$30:$R$30,4,FALSE)-VLOOKUP(A8,$O$76:$R$76,4,FALSE)))/1000</f>
        <v>1340.35</v>
      </c>
      <c r="F8" s="353">
        <f>VLOOKUP(A8,$S$30:$V$30,4,FALSE)/1000</f>
        <v>14054.757</v>
      </c>
      <c r="G8" s="354">
        <f t="shared" si="4"/>
        <v>5.9264276878313265</v>
      </c>
      <c r="H8" s="341">
        <f>(VLOOKUP(A8,$S$30:$V$30,4,FALSE)-VLOOKUP(A8,$S$76:$V$76,4,FALSE))/1000</f>
        <v>197.73599999999999</v>
      </c>
      <c r="I8" s="344">
        <f t="shared" si="6"/>
        <v>1.2999999999999999E-3</v>
      </c>
      <c r="J8" s="355">
        <f t="shared" si="7"/>
        <v>0.03</v>
      </c>
      <c r="K8" s="356">
        <f t="shared" si="8"/>
        <v>2.0126094074287946</v>
      </c>
      <c r="L8" s="356">
        <f t="shared" si="9"/>
        <v>15.074320555715961</v>
      </c>
      <c r="M8" s="357">
        <f t="shared" si="10"/>
        <v>24</v>
      </c>
      <c r="O8" s="635" t="s">
        <v>64</v>
      </c>
      <c r="P8" s="636"/>
      <c r="Q8" s="348">
        <v>51777803</v>
      </c>
      <c r="S8" s="635" t="s">
        <v>64</v>
      </c>
      <c r="T8" s="636"/>
      <c r="U8" s="348">
        <v>2958707</v>
      </c>
    </row>
    <row r="9" spans="1:21">
      <c r="A9" s="349" t="s">
        <v>32</v>
      </c>
      <c r="B9" s="350">
        <v>290833</v>
      </c>
      <c r="C9" s="351">
        <f t="shared" si="1"/>
        <v>146866.09599999999</v>
      </c>
      <c r="D9" s="352">
        <f t="shared" si="2"/>
        <v>50.498428995334088</v>
      </c>
      <c r="E9" s="341">
        <f t="shared" si="3"/>
        <v>751.52</v>
      </c>
      <c r="F9" s="353">
        <f t="shared" si="0"/>
        <v>9152.9930000000004</v>
      </c>
      <c r="G9" s="354">
        <f t="shared" si="4"/>
        <v>6.2322028359765218</v>
      </c>
      <c r="H9" s="341">
        <f t="shared" si="5"/>
        <v>86.010999999999996</v>
      </c>
      <c r="I9" s="344">
        <f t="shared" si="6"/>
        <v>0</v>
      </c>
      <c r="J9" s="355">
        <f t="shared" si="7"/>
        <v>0</v>
      </c>
      <c r="K9" s="356">
        <f t="shared" si="8"/>
        <v>2.0199371598133635</v>
      </c>
      <c r="L9" s="356">
        <f t="shared" si="9"/>
        <v>15.149528698600225</v>
      </c>
      <c r="M9" s="357">
        <f t="shared" si="10"/>
        <v>21</v>
      </c>
      <c r="O9" s="635" t="s">
        <v>61</v>
      </c>
      <c r="P9" s="636"/>
      <c r="Q9" s="348">
        <v>65067981</v>
      </c>
      <c r="S9" s="635" t="s">
        <v>61</v>
      </c>
      <c r="T9" s="636"/>
      <c r="U9" s="348">
        <v>4205331</v>
      </c>
    </row>
    <row r="10" spans="1:21">
      <c r="A10" s="349" t="s">
        <v>33</v>
      </c>
      <c r="B10" s="350">
        <v>253357</v>
      </c>
      <c r="C10" s="351">
        <f t="shared" si="1"/>
        <v>123961.905</v>
      </c>
      <c r="D10" s="352">
        <f t="shared" si="2"/>
        <v>48.927760038206955</v>
      </c>
      <c r="E10" s="341">
        <f t="shared" si="3"/>
        <v>606.70299999999997</v>
      </c>
      <c r="F10" s="353">
        <f t="shared" si="0"/>
        <v>6035.2049999999999</v>
      </c>
      <c r="G10" s="354">
        <f t="shared" si="4"/>
        <v>4.8685965256826282</v>
      </c>
      <c r="H10" s="341">
        <f t="shared" si="5"/>
        <v>43.35</v>
      </c>
      <c r="I10" s="344">
        <f t="shared" si="6"/>
        <v>1.2999999999999999E-3</v>
      </c>
      <c r="J10" s="355">
        <f t="shared" si="7"/>
        <v>0.03</v>
      </c>
      <c r="K10" s="356">
        <f t="shared" si="8"/>
        <v>1.9558104015282782</v>
      </c>
      <c r="L10" s="356">
        <f t="shared" si="9"/>
        <v>14.648328011462086</v>
      </c>
      <c r="M10" s="357">
        <f t="shared" si="10"/>
        <v>37</v>
      </c>
      <c r="O10" s="635" t="s">
        <v>57</v>
      </c>
      <c r="P10" s="636"/>
      <c r="Q10" s="348">
        <v>45584496</v>
      </c>
      <c r="S10" s="635" t="s">
        <v>57</v>
      </c>
      <c r="T10" s="636"/>
      <c r="U10" s="348">
        <v>2116497</v>
      </c>
    </row>
    <row r="11" spans="1:21">
      <c r="A11" s="349" t="s">
        <v>34</v>
      </c>
      <c r="B11" s="350">
        <v>243728</v>
      </c>
      <c r="C11" s="351">
        <f t="shared" si="1"/>
        <v>126301.715</v>
      </c>
      <c r="D11" s="352">
        <f t="shared" si="2"/>
        <v>51.820765361386457</v>
      </c>
      <c r="E11" s="341">
        <f t="shared" si="3"/>
        <v>677.71799999999996</v>
      </c>
      <c r="F11" s="353">
        <f t="shared" si="0"/>
        <v>6641.7550000000001</v>
      </c>
      <c r="G11" s="354">
        <f t="shared" si="4"/>
        <v>5.2586419748932158</v>
      </c>
      <c r="H11" s="341">
        <f t="shared" si="5"/>
        <v>55.825000000000003</v>
      </c>
      <c r="I11" s="344">
        <f t="shared" si="6"/>
        <v>1.2999999999999999E-3</v>
      </c>
      <c r="J11" s="355">
        <f t="shared" si="7"/>
        <v>0.03</v>
      </c>
      <c r="K11" s="356">
        <f t="shared" si="8"/>
        <v>2.0715306144554582</v>
      </c>
      <c r="L11" s="356">
        <f t="shared" si="9"/>
        <v>15.516229608415937</v>
      </c>
      <c r="M11" s="357">
        <f t="shared" si="10"/>
        <v>14</v>
      </c>
      <c r="O11" s="635" t="s">
        <v>52</v>
      </c>
      <c r="P11" s="636"/>
      <c r="Q11" s="348">
        <v>107865370</v>
      </c>
      <c r="S11" s="635" t="s">
        <v>52</v>
      </c>
      <c r="T11" s="636"/>
      <c r="U11" s="348">
        <v>5764119</v>
      </c>
    </row>
    <row r="12" spans="1:21">
      <c r="A12" s="349" t="s">
        <v>35</v>
      </c>
      <c r="B12" s="350">
        <v>190112</v>
      </c>
      <c r="C12" s="351">
        <f t="shared" si="1"/>
        <v>102677.7</v>
      </c>
      <c r="D12" s="352">
        <f t="shared" si="2"/>
        <v>54.009057818549067</v>
      </c>
      <c r="E12" s="341">
        <f t="shared" si="3"/>
        <v>639.08399999999995</v>
      </c>
      <c r="F12" s="353">
        <f t="shared" si="0"/>
        <v>6039.152</v>
      </c>
      <c r="G12" s="354">
        <f t="shared" si="4"/>
        <v>5.8816588217305217</v>
      </c>
      <c r="H12" s="341">
        <f t="shared" si="5"/>
        <v>56.639000000000003</v>
      </c>
      <c r="I12" s="344">
        <f t="shared" si="6"/>
        <v>1.2999999999999999E-3</v>
      </c>
      <c r="J12" s="355">
        <f t="shared" si="7"/>
        <v>0.03</v>
      </c>
      <c r="K12" s="356">
        <f t="shared" si="8"/>
        <v>2.1590623127419626</v>
      </c>
      <c r="L12" s="356">
        <f t="shared" si="9"/>
        <v>16.172717345564717</v>
      </c>
      <c r="M12" s="357">
        <f t="shared" si="10"/>
        <v>7</v>
      </c>
      <c r="O12" s="635" t="s">
        <v>55</v>
      </c>
      <c r="P12" s="636"/>
      <c r="Q12" s="348">
        <v>34605104</v>
      </c>
      <c r="S12" s="635" t="s">
        <v>55</v>
      </c>
      <c r="T12" s="636"/>
      <c r="U12" s="348">
        <v>1191908</v>
      </c>
    </row>
    <row r="13" spans="1:21">
      <c r="A13" s="349" t="s">
        <v>36</v>
      </c>
      <c r="B13" s="350">
        <v>116544</v>
      </c>
      <c r="C13" s="351">
        <f t="shared" si="1"/>
        <v>58357.309000000001</v>
      </c>
      <c r="D13" s="352">
        <f t="shared" si="2"/>
        <v>50.073198963481602</v>
      </c>
      <c r="E13" s="341">
        <f t="shared" si="3"/>
        <v>262.81099999999998</v>
      </c>
      <c r="F13" s="353">
        <f t="shared" si="0"/>
        <v>3249.7449999999999</v>
      </c>
      <c r="G13" s="354">
        <f t="shared" si="4"/>
        <v>5.5687026281489436</v>
      </c>
      <c r="H13" s="341">
        <f t="shared" si="5"/>
        <v>31.702999999999999</v>
      </c>
      <c r="I13" s="344">
        <f t="shared" si="6"/>
        <v>1.2999999999999999E-3</v>
      </c>
      <c r="J13" s="355">
        <f t="shared" si="7"/>
        <v>0.03</v>
      </c>
      <c r="K13" s="356">
        <f t="shared" si="8"/>
        <v>2.001627958539264</v>
      </c>
      <c r="L13" s="356">
        <f t="shared" si="9"/>
        <v>14.99195968904448</v>
      </c>
      <c r="M13" s="357">
        <f t="shared" si="10"/>
        <v>28</v>
      </c>
      <c r="O13" s="635" t="s">
        <v>56</v>
      </c>
      <c r="P13" s="636"/>
      <c r="Q13" s="348">
        <v>54237674</v>
      </c>
      <c r="S13" s="635" t="s">
        <v>56</v>
      </c>
      <c r="T13" s="636"/>
      <c r="U13" s="348">
        <v>2521448</v>
      </c>
    </row>
    <row r="14" spans="1:21">
      <c r="A14" s="349" t="s">
        <v>37</v>
      </c>
      <c r="B14" s="350">
        <v>147071</v>
      </c>
      <c r="C14" s="351">
        <f t="shared" si="1"/>
        <v>73619.759000000005</v>
      </c>
      <c r="D14" s="352">
        <f t="shared" si="2"/>
        <v>50.057291376274044</v>
      </c>
      <c r="E14" s="341">
        <f t="shared" si="3"/>
        <v>392.40699999999998</v>
      </c>
      <c r="F14" s="353">
        <f t="shared" si="0"/>
        <v>4841.0550000000003</v>
      </c>
      <c r="G14" s="354">
        <f t="shared" si="4"/>
        <v>6.5757550225069323</v>
      </c>
      <c r="H14" s="341">
        <f t="shared" si="5"/>
        <v>58.95</v>
      </c>
      <c r="I14" s="344">
        <f t="shared" si="6"/>
        <v>0</v>
      </c>
      <c r="J14" s="355">
        <f t="shared" si="7"/>
        <v>0</v>
      </c>
      <c r="K14" s="356">
        <f t="shared" si="8"/>
        <v>2.002291655050962</v>
      </c>
      <c r="L14" s="356">
        <f t="shared" si="9"/>
        <v>15.017187412882212</v>
      </c>
      <c r="M14" s="357">
        <f t="shared" si="10"/>
        <v>26</v>
      </c>
      <c r="O14" s="635" t="s">
        <v>58</v>
      </c>
      <c r="P14" s="636"/>
      <c r="Q14" s="348">
        <v>67315866</v>
      </c>
      <c r="S14" s="635" t="s">
        <v>58</v>
      </c>
      <c r="T14" s="636"/>
      <c r="U14" s="348">
        <v>3372108</v>
      </c>
    </row>
    <row r="15" spans="1:21">
      <c r="A15" s="349" t="s">
        <v>38</v>
      </c>
      <c r="B15" s="350">
        <v>200655</v>
      </c>
      <c r="C15" s="351">
        <f t="shared" si="1"/>
        <v>105648.69500000001</v>
      </c>
      <c r="D15" s="352">
        <f t="shared" si="2"/>
        <v>52.651912486606371</v>
      </c>
      <c r="E15" s="341">
        <f t="shared" si="3"/>
        <v>545.32000000000005</v>
      </c>
      <c r="F15" s="353">
        <f t="shared" si="0"/>
        <v>4974.0910000000003</v>
      </c>
      <c r="G15" s="354">
        <f t="shared" si="4"/>
        <v>4.708142395890456</v>
      </c>
      <c r="H15" s="341">
        <f t="shared" si="5"/>
        <v>46.503999999999998</v>
      </c>
      <c r="I15" s="344">
        <f t="shared" si="6"/>
        <v>1.2999999999999999E-3</v>
      </c>
      <c r="J15" s="355">
        <f t="shared" si="7"/>
        <v>0.03</v>
      </c>
      <c r="K15" s="356">
        <f t="shared" si="8"/>
        <v>2.1047764994642546</v>
      </c>
      <c r="L15" s="356">
        <f t="shared" si="9"/>
        <v>15.765573745981911</v>
      </c>
      <c r="M15" s="357">
        <f t="shared" si="10"/>
        <v>9</v>
      </c>
      <c r="O15" s="635" t="s">
        <v>60</v>
      </c>
      <c r="P15" s="636"/>
      <c r="Q15" s="348">
        <v>43486516</v>
      </c>
      <c r="S15" s="635" t="s">
        <v>60</v>
      </c>
      <c r="T15" s="636"/>
      <c r="U15" s="348">
        <v>1482703</v>
      </c>
    </row>
    <row r="16" spans="1:21">
      <c r="A16" s="349" t="s">
        <v>39</v>
      </c>
      <c r="B16" s="350">
        <v>319800</v>
      </c>
      <c r="C16" s="351">
        <f t="shared" si="1"/>
        <v>155942.79699999999</v>
      </c>
      <c r="D16" s="352">
        <f t="shared" si="2"/>
        <v>48.762600687929954</v>
      </c>
      <c r="E16" s="341">
        <f t="shared" si="3"/>
        <v>781.49900000000002</v>
      </c>
      <c r="F16" s="353">
        <f t="shared" si="0"/>
        <v>6776.23</v>
      </c>
      <c r="G16" s="354">
        <f t="shared" si="4"/>
        <v>4.3453305509198987</v>
      </c>
      <c r="H16" s="341">
        <f t="shared" si="5"/>
        <v>62.171999999999997</v>
      </c>
      <c r="I16" s="344">
        <f t="shared" si="6"/>
        <v>1.2999999999999999E-3</v>
      </c>
      <c r="J16" s="355">
        <f t="shared" si="7"/>
        <v>0.03</v>
      </c>
      <c r="K16" s="356">
        <f t="shared" si="8"/>
        <v>1.949204027517198</v>
      </c>
      <c r="L16" s="356">
        <f t="shared" si="9"/>
        <v>14.598780206378986</v>
      </c>
      <c r="M16" s="357">
        <f t="shared" si="10"/>
        <v>38</v>
      </c>
      <c r="O16" s="635" t="s">
        <v>53</v>
      </c>
      <c r="P16" s="636"/>
      <c r="Q16" s="348">
        <v>94438850</v>
      </c>
      <c r="S16" s="635" t="s">
        <v>53</v>
      </c>
      <c r="T16" s="636"/>
      <c r="U16" s="348">
        <v>4685473</v>
      </c>
    </row>
    <row r="17" spans="1:22">
      <c r="A17" s="358" t="s">
        <v>40</v>
      </c>
      <c r="B17" s="350">
        <v>169310</v>
      </c>
      <c r="C17" s="351">
        <f t="shared" si="1"/>
        <v>92933.096999999994</v>
      </c>
      <c r="D17" s="352">
        <f t="shared" si="2"/>
        <v>54.889313684956591</v>
      </c>
      <c r="E17" s="341">
        <f t="shared" si="3"/>
        <v>463.73700000000002</v>
      </c>
      <c r="F17" s="353">
        <f t="shared" si="0"/>
        <v>4937.1989999999996</v>
      </c>
      <c r="G17" s="354">
        <f t="shared" si="4"/>
        <v>5.3126379722393198</v>
      </c>
      <c r="H17" s="341">
        <f t="shared" si="5"/>
        <v>57.104999999999997</v>
      </c>
      <c r="I17" s="344">
        <f t="shared" si="6"/>
        <v>1.2999999999999999E-3</v>
      </c>
      <c r="J17" s="355">
        <f t="shared" si="7"/>
        <v>0.03</v>
      </c>
      <c r="K17" s="356">
        <f t="shared" si="8"/>
        <v>2.1942725473982634</v>
      </c>
      <c r="L17" s="356">
        <f t="shared" si="9"/>
        <v>16.436794105486975</v>
      </c>
      <c r="M17" s="357">
        <f t="shared" si="10"/>
        <v>5</v>
      </c>
      <c r="O17" s="635" t="s">
        <v>54</v>
      </c>
      <c r="P17" s="636"/>
      <c r="Q17" s="348">
        <v>80639234</v>
      </c>
      <c r="S17" s="635" t="s">
        <v>54</v>
      </c>
      <c r="T17" s="636"/>
      <c r="U17" s="348">
        <v>5871919</v>
      </c>
    </row>
    <row r="18" spans="1:22">
      <c r="A18" s="358" t="s">
        <v>41</v>
      </c>
      <c r="B18" s="350">
        <v>375649</v>
      </c>
      <c r="C18" s="351">
        <f t="shared" si="1"/>
        <v>187597.43100000001</v>
      </c>
      <c r="D18" s="352">
        <f t="shared" si="2"/>
        <v>49.939552880481521</v>
      </c>
      <c r="E18" s="341">
        <f t="shared" si="3"/>
        <v>975.90300000000002</v>
      </c>
      <c r="F18" s="353">
        <f t="shared" si="0"/>
        <v>9565.4860000000008</v>
      </c>
      <c r="G18" s="354">
        <f t="shared" si="4"/>
        <v>5.0989429594054521</v>
      </c>
      <c r="H18" s="341">
        <f t="shared" si="5"/>
        <v>91.548000000000002</v>
      </c>
      <c r="I18" s="344">
        <f t="shared" si="6"/>
        <v>1.2999999999999999E-3</v>
      </c>
      <c r="J18" s="355">
        <f t="shared" si="7"/>
        <v>0.03</v>
      </c>
      <c r="K18" s="356">
        <f t="shared" si="8"/>
        <v>1.9962821152192609</v>
      </c>
      <c r="L18" s="356">
        <f t="shared" si="9"/>
        <v>14.951865864144457</v>
      </c>
      <c r="M18" s="357">
        <f t="shared" si="10"/>
        <v>30</v>
      </c>
      <c r="O18" s="635" t="s">
        <v>59</v>
      </c>
      <c r="P18" s="636"/>
      <c r="Q18" s="348">
        <v>64331937</v>
      </c>
      <c r="S18" s="635" t="s">
        <v>59</v>
      </c>
      <c r="T18" s="636"/>
      <c r="U18" s="348">
        <v>3478777</v>
      </c>
    </row>
    <row r="19" spans="1:22">
      <c r="A19" s="349" t="s">
        <v>42</v>
      </c>
      <c r="B19" s="350">
        <v>492000</v>
      </c>
      <c r="C19" s="351">
        <f t="shared" si="1"/>
        <v>284854.92700000003</v>
      </c>
      <c r="D19" s="352">
        <f t="shared" si="2"/>
        <v>57.897342886178869</v>
      </c>
      <c r="E19" s="341">
        <f t="shared" si="3"/>
        <v>1700.0160000000001</v>
      </c>
      <c r="F19" s="353">
        <f t="shared" si="0"/>
        <v>9483.7559999999994</v>
      </c>
      <c r="G19" s="354">
        <f t="shared" si="4"/>
        <v>3.3293284058239223</v>
      </c>
      <c r="H19" s="341">
        <f t="shared" si="5"/>
        <v>78.317999999999998</v>
      </c>
      <c r="I19" s="344">
        <f t="shared" si="6"/>
        <v>1.2999999999999999E-3</v>
      </c>
      <c r="J19" s="355">
        <f t="shared" si="7"/>
        <v>0.03</v>
      </c>
      <c r="K19" s="356">
        <f t="shared" si="8"/>
        <v>2.3145937154471548</v>
      </c>
      <c r="L19" s="356">
        <f t="shared" si="9"/>
        <v>17.339202865853657</v>
      </c>
      <c r="M19" s="357">
        <f t="shared" si="10"/>
        <v>4</v>
      </c>
      <c r="O19" s="635" t="s">
        <v>33</v>
      </c>
      <c r="P19" s="636"/>
      <c r="Q19" s="348">
        <v>123961905</v>
      </c>
      <c r="S19" s="635" t="s">
        <v>33</v>
      </c>
      <c r="T19" s="636"/>
      <c r="U19" s="348">
        <v>6035205</v>
      </c>
    </row>
    <row r="20" spans="1:22">
      <c r="A20" s="349" t="s">
        <v>43</v>
      </c>
      <c r="B20" s="350">
        <v>210662</v>
      </c>
      <c r="C20" s="351">
        <f t="shared" si="1"/>
        <v>103312.95299999999</v>
      </c>
      <c r="D20" s="352">
        <f t="shared" si="2"/>
        <v>49.042045076947907</v>
      </c>
      <c r="E20" s="341">
        <f t="shared" si="3"/>
        <v>515.58900000000006</v>
      </c>
      <c r="F20" s="353">
        <f t="shared" si="0"/>
        <v>5197.8019999999997</v>
      </c>
      <c r="G20" s="354">
        <f t="shared" si="4"/>
        <v>5.0311232513119633</v>
      </c>
      <c r="H20" s="341">
        <f t="shared" si="5"/>
        <v>61.162999999999997</v>
      </c>
      <c r="I20" s="344">
        <f t="shared" si="6"/>
        <v>1.2999999999999999E-3</v>
      </c>
      <c r="J20" s="355">
        <f t="shared" si="7"/>
        <v>0.03</v>
      </c>
      <c r="K20" s="356">
        <f t="shared" si="8"/>
        <v>1.9603818030779163</v>
      </c>
      <c r="L20" s="356">
        <f t="shared" si="9"/>
        <v>14.682613523084372</v>
      </c>
      <c r="M20" s="357">
        <f t="shared" si="10"/>
        <v>36</v>
      </c>
      <c r="O20" s="635" t="s">
        <v>50</v>
      </c>
      <c r="P20" s="636"/>
      <c r="Q20" s="348">
        <v>109722075</v>
      </c>
      <c r="S20" s="635" t="s">
        <v>50</v>
      </c>
      <c r="T20" s="636"/>
      <c r="U20" s="348">
        <v>6792629</v>
      </c>
    </row>
    <row r="21" spans="1:22">
      <c r="A21" s="349" t="s">
        <v>44</v>
      </c>
      <c r="B21" s="350">
        <v>189351</v>
      </c>
      <c r="C21" s="351">
        <f t="shared" si="1"/>
        <v>97037.941000000006</v>
      </c>
      <c r="D21" s="352">
        <f t="shared" si="2"/>
        <v>51.247651715596966</v>
      </c>
      <c r="E21" s="341">
        <f t="shared" si="3"/>
        <v>543.33799999999997</v>
      </c>
      <c r="F21" s="353">
        <f t="shared" si="0"/>
        <v>5575.9669999999996</v>
      </c>
      <c r="G21" s="354">
        <f t="shared" si="4"/>
        <v>5.7461720050304859</v>
      </c>
      <c r="H21" s="341">
        <f t="shared" si="5"/>
        <v>83.635999999999996</v>
      </c>
      <c r="I21" s="344">
        <f t="shared" si="6"/>
        <v>1.2999999999999999E-3</v>
      </c>
      <c r="J21" s="355">
        <f t="shared" si="7"/>
        <v>0.03</v>
      </c>
      <c r="K21" s="356">
        <f t="shared" si="8"/>
        <v>2.0486060686238785</v>
      </c>
      <c r="L21" s="356">
        <f t="shared" si="9"/>
        <v>15.344295514679089</v>
      </c>
      <c r="M21" s="357">
        <f t="shared" si="10"/>
        <v>16</v>
      </c>
      <c r="O21" s="635" t="s">
        <v>62</v>
      </c>
      <c r="P21" s="636"/>
      <c r="Q21" s="348">
        <v>53094129</v>
      </c>
      <c r="S21" s="635" t="s">
        <v>62</v>
      </c>
      <c r="T21" s="636"/>
      <c r="U21" s="348">
        <v>2785282</v>
      </c>
    </row>
    <row r="22" spans="1:22">
      <c r="A22" s="349" t="s">
        <v>45</v>
      </c>
      <c r="B22" s="350">
        <v>273983</v>
      </c>
      <c r="C22" s="351">
        <f t="shared" si="1"/>
        <v>133372.21</v>
      </c>
      <c r="D22" s="352">
        <f t="shared" si="2"/>
        <v>48.679009281597764</v>
      </c>
      <c r="E22" s="341">
        <f t="shared" si="3"/>
        <v>732.54399999999998</v>
      </c>
      <c r="F22" s="353">
        <f t="shared" si="0"/>
        <v>6442.08</v>
      </c>
      <c r="G22" s="354">
        <f t="shared" si="4"/>
        <v>4.8301516485330787</v>
      </c>
      <c r="H22" s="341">
        <f t="shared" si="5"/>
        <v>52.436</v>
      </c>
      <c r="I22" s="344">
        <f t="shared" si="6"/>
        <v>1.2999999999999999E-3</v>
      </c>
      <c r="J22" s="355">
        <f t="shared" si="7"/>
        <v>0.03</v>
      </c>
      <c r="K22" s="356">
        <f t="shared" si="8"/>
        <v>1.9458603712639106</v>
      </c>
      <c r="L22" s="356">
        <f t="shared" si="9"/>
        <v>14.573702784479329</v>
      </c>
      <c r="M22" s="357">
        <f t="shared" si="10"/>
        <v>39</v>
      </c>
      <c r="O22" s="635" t="s">
        <v>34</v>
      </c>
      <c r="P22" s="636"/>
      <c r="Q22" s="348">
        <v>126301715</v>
      </c>
      <c r="S22" s="635" t="s">
        <v>34</v>
      </c>
      <c r="T22" s="636"/>
      <c r="U22" s="348">
        <v>6641755</v>
      </c>
    </row>
    <row r="23" spans="1:22">
      <c r="A23" s="349" t="s">
        <v>46</v>
      </c>
      <c r="B23" s="350">
        <v>146150</v>
      </c>
      <c r="C23" s="351">
        <f t="shared" si="1"/>
        <v>88721.324999999997</v>
      </c>
      <c r="D23" s="352">
        <f t="shared" si="2"/>
        <v>60.705661991105025</v>
      </c>
      <c r="E23" s="341">
        <f t="shared" si="3"/>
        <v>447.48</v>
      </c>
      <c r="F23" s="353">
        <f t="shared" si="0"/>
        <v>3320.7890000000002</v>
      </c>
      <c r="G23" s="354">
        <f t="shared" si="4"/>
        <v>3.7429434242556683</v>
      </c>
      <c r="H23" s="341">
        <f t="shared" si="5"/>
        <v>24.327000000000002</v>
      </c>
      <c r="I23" s="344">
        <f t="shared" si="6"/>
        <v>1.2999999999999999E-3</v>
      </c>
      <c r="J23" s="355">
        <f t="shared" si="7"/>
        <v>0.03</v>
      </c>
      <c r="K23" s="356">
        <f t="shared" si="8"/>
        <v>2.4269264796442012</v>
      </c>
      <c r="L23" s="356">
        <f t="shared" si="9"/>
        <v>18.181698597331504</v>
      </c>
      <c r="M23" s="357">
        <f t="shared" si="10"/>
        <v>2</v>
      </c>
      <c r="O23" s="635" t="s">
        <v>66</v>
      </c>
      <c r="P23" s="636"/>
      <c r="Q23" s="348">
        <v>37605264</v>
      </c>
      <c r="S23" s="635" t="s">
        <v>66</v>
      </c>
      <c r="T23" s="636"/>
      <c r="U23" s="348">
        <v>1411993</v>
      </c>
    </row>
    <row r="24" spans="1:22">
      <c r="A24" s="349" t="s">
        <v>47</v>
      </c>
      <c r="B24" s="350">
        <v>137370</v>
      </c>
      <c r="C24" s="351">
        <f t="shared" si="1"/>
        <v>68225.402000000002</v>
      </c>
      <c r="D24" s="352">
        <f t="shared" si="2"/>
        <v>49.665430588920437</v>
      </c>
      <c r="E24" s="341">
        <f t="shared" si="3"/>
        <v>364.11799999999999</v>
      </c>
      <c r="F24" s="353">
        <f t="shared" si="0"/>
        <v>3841.6010000000001</v>
      </c>
      <c r="G24" s="354">
        <f t="shared" si="4"/>
        <v>5.630748793535874</v>
      </c>
      <c r="H24" s="341">
        <f t="shared" si="5"/>
        <v>29.433</v>
      </c>
      <c r="I24" s="344">
        <f t="shared" si="6"/>
        <v>1.2999999999999999E-3</v>
      </c>
      <c r="J24" s="355">
        <f t="shared" si="7"/>
        <v>0.03</v>
      </c>
      <c r="K24" s="356">
        <f t="shared" si="8"/>
        <v>1.9853172235568175</v>
      </c>
      <c r="L24" s="356">
        <f t="shared" si="9"/>
        <v>14.869629176676131</v>
      </c>
      <c r="M24" s="357">
        <f t="shared" si="10"/>
        <v>33</v>
      </c>
      <c r="O24" s="635" t="s">
        <v>63</v>
      </c>
      <c r="P24" s="636"/>
      <c r="Q24" s="348">
        <v>35047117</v>
      </c>
      <c r="S24" s="635" t="s">
        <v>63</v>
      </c>
      <c r="T24" s="636"/>
      <c r="U24" s="348">
        <v>1564886</v>
      </c>
    </row>
    <row r="25" spans="1:22">
      <c r="A25" s="349" t="s">
        <v>50</v>
      </c>
      <c r="B25" s="350">
        <v>216281</v>
      </c>
      <c r="C25" s="351">
        <f t="shared" si="1"/>
        <v>109722.075</v>
      </c>
      <c r="D25" s="352">
        <f t="shared" si="2"/>
        <v>50.731259333922075</v>
      </c>
      <c r="E25" s="341">
        <f t="shared" si="3"/>
        <v>557.75300000000004</v>
      </c>
      <c r="F25" s="353">
        <f t="shared" si="0"/>
        <v>6792.6289999999999</v>
      </c>
      <c r="G25" s="354">
        <f t="shared" si="4"/>
        <v>6.1907587876003989</v>
      </c>
      <c r="H25" s="341">
        <f t="shared" si="5"/>
        <v>65.14</v>
      </c>
      <c r="I25" s="344">
        <f t="shared" si="6"/>
        <v>0</v>
      </c>
      <c r="J25" s="355">
        <f t="shared" si="7"/>
        <v>0</v>
      </c>
      <c r="K25" s="356">
        <f t="shared" si="8"/>
        <v>2.029250373356883</v>
      </c>
      <c r="L25" s="356">
        <f t="shared" si="9"/>
        <v>15.219377800176622</v>
      </c>
      <c r="M25" s="357">
        <f t="shared" si="10"/>
        <v>18</v>
      </c>
      <c r="O25" s="635" t="s">
        <v>65</v>
      </c>
      <c r="P25" s="636"/>
      <c r="Q25" s="348">
        <v>21143591</v>
      </c>
      <c r="S25" s="635" t="s">
        <v>65</v>
      </c>
      <c r="T25" s="636"/>
      <c r="U25" s="348">
        <v>1093918</v>
      </c>
    </row>
    <row r="26" spans="1:22">
      <c r="A26" s="349" t="s">
        <v>48</v>
      </c>
      <c r="B26" s="350">
        <v>193481</v>
      </c>
      <c r="C26" s="351">
        <f t="shared" si="1"/>
        <v>95123.115999999995</v>
      </c>
      <c r="D26" s="352">
        <f t="shared" si="2"/>
        <v>49.164060553749465</v>
      </c>
      <c r="E26" s="341">
        <f t="shared" si="3"/>
        <v>530.83500000000004</v>
      </c>
      <c r="F26" s="353">
        <f t="shared" si="0"/>
        <v>4058.9690000000001</v>
      </c>
      <c r="G26" s="354">
        <f t="shared" si="4"/>
        <v>4.267069005603223</v>
      </c>
      <c r="H26" s="341">
        <f t="shared" si="5"/>
        <v>53.167000000000002</v>
      </c>
      <c r="I26" s="344">
        <f t="shared" si="6"/>
        <v>1.2999999999999999E-3</v>
      </c>
      <c r="J26" s="355">
        <f t="shared" si="7"/>
        <v>0.03</v>
      </c>
      <c r="K26" s="356">
        <f t="shared" si="8"/>
        <v>1.9652624221499786</v>
      </c>
      <c r="L26" s="356">
        <f t="shared" si="9"/>
        <v>14.71921816612484</v>
      </c>
      <c r="M26" s="357">
        <f t="shared" si="10"/>
        <v>35</v>
      </c>
      <c r="O26" s="635" t="s">
        <v>45</v>
      </c>
      <c r="P26" s="636"/>
      <c r="Q26" s="348">
        <v>133372210</v>
      </c>
      <c r="S26" s="635" t="s">
        <v>45</v>
      </c>
      <c r="T26" s="636"/>
      <c r="U26" s="348">
        <v>6442080</v>
      </c>
    </row>
    <row r="27" spans="1:22">
      <c r="A27" s="358" t="s">
        <v>49</v>
      </c>
      <c r="B27" s="350">
        <v>370979</v>
      </c>
      <c r="C27" s="351">
        <f t="shared" si="1"/>
        <v>188527.18599999999</v>
      </c>
      <c r="D27" s="352">
        <f t="shared" si="2"/>
        <v>50.818829637257089</v>
      </c>
      <c r="E27" s="341">
        <f t="shared" si="3"/>
        <v>925.65599999999995</v>
      </c>
      <c r="F27" s="353">
        <f t="shared" si="0"/>
        <v>9183.348</v>
      </c>
      <c r="G27" s="354">
        <f t="shared" si="4"/>
        <v>4.871100128763393</v>
      </c>
      <c r="H27" s="341">
        <f t="shared" si="5"/>
        <v>79.799000000000007</v>
      </c>
      <c r="I27" s="344">
        <f t="shared" si="6"/>
        <v>1.2999999999999999E-3</v>
      </c>
      <c r="J27" s="355">
        <f t="shared" si="7"/>
        <v>0.03</v>
      </c>
      <c r="K27" s="356">
        <f t="shared" si="8"/>
        <v>2.0314531854902835</v>
      </c>
      <c r="L27" s="356">
        <f t="shared" si="9"/>
        <v>15.215648891177127</v>
      </c>
      <c r="M27" s="357">
        <f t="shared" si="10"/>
        <v>19</v>
      </c>
      <c r="O27" s="635" t="s">
        <v>67</v>
      </c>
      <c r="P27" s="636"/>
      <c r="Q27" s="348">
        <v>49983450</v>
      </c>
      <c r="S27" s="635" t="s">
        <v>67</v>
      </c>
      <c r="T27" s="636"/>
      <c r="U27" s="348">
        <v>2791380</v>
      </c>
    </row>
    <row r="28" spans="1:22">
      <c r="A28" s="349" t="s">
        <v>51</v>
      </c>
      <c r="B28" s="350">
        <v>288782</v>
      </c>
      <c r="C28" s="351">
        <f t="shared" si="1"/>
        <v>144771.52799999999</v>
      </c>
      <c r="D28" s="352">
        <f t="shared" si="2"/>
        <v>50.131769985663922</v>
      </c>
      <c r="E28" s="341">
        <f t="shared" si="3"/>
        <v>706.57</v>
      </c>
      <c r="F28" s="353">
        <f t="shared" si="0"/>
        <v>7458.9470000000001</v>
      </c>
      <c r="G28" s="354">
        <f t="shared" si="4"/>
        <v>5.1522195717931503</v>
      </c>
      <c r="H28" s="341">
        <f t="shared" si="5"/>
        <v>87.537999999999997</v>
      </c>
      <c r="I28" s="344">
        <f t="shared" si="6"/>
        <v>1.2999999999999999E-3</v>
      </c>
      <c r="J28" s="355">
        <f t="shared" si="7"/>
        <v>0.03</v>
      </c>
      <c r="K28" s="356">
        <f t="shared" si="8"/>
        <v>2.0039707994265568</v>
      </c>
      <c r="L28" s="356">
        <f t="shared" si="9"/>
        <v>15.009530995699176</v>
      </c>
      <c r="M28" s="357">
        <f t="shared" si="10"/>
        <v>27</v>
      </c>
      <c r="O28" s="635" t="s">
        <v>39</v>
      </c>
      <c r="P28" s="636"/>
      <c r="Q28" s="348">
        <v>155942797</v>
      </c>
      <c r="S28" s="635" t="s">
        <v>39</v>
      </c>
      <c r="T28" s="636"/>
      <c r="U28" s="348">
        <v>6776230</v>
      </c>
    </row>
    <row r="29" spans="1:22">
      <c r="A29" s="349" t="s">
        <v>52</v>
      </c>
      <c r="B29" s="350">
        <v>211366</v>
      </c>
      <c r="C29" s="351">
        <f t="shared" si="1"/>
        <v>107865.37</v>
      </c>
      <c r="D29" s="352">
        <f t="shared" si="2"/>
        <v>51.032507593463471</v>
      </c>
      <c r="E29" s="341">
        <f t="shared" si="3"/>
        <v>548.68399999999997</v>
      </c>
      <c r="F29" s="353">
        <f t="shared" si="0"/>
        <v>5764.1189999999997</v>
      </c>
      <c r="G29" s="354">
        <f t="shared" si="4"/>
        <v>5.3438086755740057</v>
      </c>
      <c r="H29" s="341">
        <f t="shared" si="5"/>
        <v>62.670999999999999</v>
      </c>
      <c r="I29" s="344">
        <f t="shared" si="6"/>
        <v>1.2999999999999999E-3</v>
      </c>
      <c r="J29" s="355">
        <f t="shared" si="7"/>
        <v>0.03</v>
      </c>
      <c r="K29" s="356">
        <f t="shared" si="8"/>
        <v>2.0400003037385388</v>
      </c>
      <c r="L29" s="356">
        <f t="shared" si="9"/>
        <v>15.279752278039041</v>
      </c>
      <c r="M29" s="357">
        <f t="shared" si="10"/>
        <v>17</v>
      </c>
      <c r="O29" s="635" t="s">
        <v>46</v>
      </c>
      <c r="P29" s="636"/>
      <c r="Q29" s="348">
        <v>88721325</v>
      </c>
      <c r="S29" s="635" t="s">
        <v>46</v>
      </c>
      <c r="T29" s="636"/>
      <c r="U29" s="348">
        <v>3320789</v>
      </c>
    </row>
    <row r="30" spans="1:22">
      <c r="A30" s="349" t="s">
        <v>53</v>
      </c>
      <c r="B30" s="350">
        <v>183175</v>
      </c>
      <c r="C30" s="351">
        <f t="shared" si="1"/>
        <v>94438.85</v>
      </c>
      <c r="D30" s="352">
        <f t="shared" si="2"/>
        <v>51.556626177152999</v>
      </c>
      <c r="E30" s="341">
        <f t="shared" si="3"/>
        <v>476.90100000000001</v>
      </c>
      <c r="F30" s="353">
        <f t="shared" si="0"/>
        <v>4685.473</v>
      </c>
      <c r="G30" s="354">
        <f t="shared" si="4"/>
        <v>4.9613829478016722</v>
      </c>
      <c r="H30" s="341">
        <f t="shared" si="5"/>
        <v>29.664999999999999</v>
      </c>
      <c r="I30" s="344">
        <f t="shared" si="6"/>
        <v>1.2999999999999999E-3</v>
      </c>
      <c r="J30" s="355">
        <f t="shared" si="7"/>
        <v>0.03</v>
      </c>
      <c r="K30" s="356">
        <f t="shared" si="8"/>
        <v>2.0609650470861198</v>
      </c>
      <c r="L30" s="356">
        <f t="shared" si="9"/>
        <v>15.436987853145899</v>
      </c>
      <c r="M30" s="357">
        <f t="shared" si="10"/>
        <v>15</v>
      </c>
      <c r="O30" s="639" t="s">
        <v>31</v>
      </c>
      <c r="P30" s="640"/>
      <c r="Q30" s="359">
        <v>133466489</v>
      </c>
      <c r="R30" s="235">
        <f>Q30+Q34</f>
        <v>237153944</v>
      </c>
      <c r="S30" s="639" t="s">
        <v>31</v>
      </c>
      <c r="T30" s="640"/>
      <c r="U30" s="359">
        <v>7490703</v>
      </c>
      <c r="V30" s="235">
        <f>U30+U34</f>
        <v>14054757</v>
      </c>
    </row>
    <row r="31" spans="1:22">
      <c r="A31" s="349" t="s">
        <v>59</v>
      </c>
      <c r="B31" s="350">
        <v>123179</v>
      </c>
      <c r="C31" s="351">
        <f t="shared" si="1"/>
        <v>64331.936999999998</v>
      </c>
      <c r="D31" s="352">
        <f t="shared" si="2"/>
        <v>52.226383555638542</v>
      </c>
      <c r="E31" s="341">
        <f t="shared" si="3"/>
        <v>339.39100000000002</v>
      </c>
      <c r="F31" s="353">
        <f t="shared" si="0"/>
        <v>3478.777</v>
      </c>
      <c r="G31" s="354">
        <f t="shared" si="4"/>
        <v>5.4075427574953956</v>
      </c>
      <c r="H31" s="341">
        <f t="shared" si="5"/>
        <v>22.864000000000001</v>
      </c>
      <c r="I31" s="344">
        <f t="shared" si="6"/>
        <v>1.2999999999999999E-3</v>
      </c>
      <c r="J31" s="355">
        <f t="shared" si="7"/>
        <v>0.03</v>
      </c>
      <c r="K31" s="356">
        <f t="shared" si="8"/>
        <v>2.0877553422255417</v>
      </c>
      <c r="L31" s="356">
        <f t="shared" si="9"/>
        <v>15.637915066691562</v>
      </c>
      <c r="M31" s="357">
        <f t="shared" si="10"/>
        <v>12</v>
      </c>
      <c r="O31" s="635" t="s">
        <v>42</v>
      </c>
      <c r="P31" s="636"/>
      <c r="Q31" s="348">
        <v>284854927</v>
      </c>
      <c r="S31" s="635" t="s">
        <v>42</v>
      </c>
      <c r="T31" s="636"/>
      <c r="U31" s="348">
        <v>9483756</v>
      </c>
    </row>
    <row r="32" spans="1:22">
      <c r="A32" s="349" t="s">
        <v>61</v>
      </c>
      <c r="B32" s="350">
        <v>129433</v>
      </c>
      <c r="C32" s="351">
        <f t="shared" si="1"/>
        <v>65067.981</v>
      </c>
      <c r="D32" s="352">
        <f t="shared" si="2"/>
        <v>50.271554394937922</v>
      </c>
      <c r="E32" s="341">
        <f t="shared" si="3"/>
        <v>306.02499999999998</v>
      </c>
      <c r="F32" s="353">
        <f t="shared" si="0"/>
        <v>4205.3310000000001</v>
      </c>
      <c r="G32" s="354">
        <f t="shared" si="4"/>
        <v>6.4629806171487019</v>
      </c>
      <c r="H32" s="341">
        <f t="shared" si="5"/>
        <v>31.117999999999999</v>
      </c>
      <c r="I32" s="344">
        <f t="shared" si="6"/>
        <v>0</v>
      </c>
      <c r="J32" s="355">
        <f t="shared" si="7"/>
        <v>0</v>
      </c>
      <c r="K32" s="356">
        <f t="shared" si="8"/>
        <v>2.0108621757975169</v>
      </c>
      <c r="L32" s="356">
        <f t="shared" si="9"/>
        <v>15.081466318481375</v>
      </c>
      <c r="M32" s="357">
        <f t="shared" si="10"/>
        <v>22</v>
      </c>
      <c r="O32" s="635" t="s">
        <v>36</v>
      </c>
      <c r="P32" s="636"/>
      <c r="Q32" s="348">
        <v>58357309</v>
      </c>
      <c r="S32" s="635" t="s">
        <v>36</v>
      </c>
      <c r="T32" s="636"/>
      <c r="U32" s="348">
        <v>3249745</v>
      </c>
    </row>
    <row r="33" spans="1:21">
      <c r="A33" s="349" t="s">
        <v>54</v>
      </c>
      <c r="B33" s="350">
        <v>161446</v>
      </c>
      <c r="C33" s="351">
        <f t="shared" si="1"/>
        <v>80639.233999999997</v>
      </c>
      <c r="D33" s="352">
        <f t="shared" si="2"/>
        <v>49.948115159248289</v>
      </c>
      <c r="E33" s="341">
        <f t="shared" si="3"/>
        <v>399.21199999999999</v>
      </c>
      <c r="F33" s="353">
        <f t="shared" si="0"/>
        <v>5871.9189999999999</v>
      </c>
      <c r="G33" s="354">
        <f t="shared" si="4"/>
        <v>7.2817147543837031</v>
      </c>
      <c r="H33" s="341">
        <f t="shared" si="5"/>
        <v>43.366</v>
      </c>
      <c r="I33" s="344">
        <f t="shared" si="6"/>
        <v>0</v>
      </c>
      <c r="J33" s="355">
        <f t="shared" si="7"/>
        <v>0</v>
      </c>
      <c r="K33" s="356">
        <f t="shared" si="8"/>
        <v>1.9979246063699316</v>
      </c>
      <c r="L33" s="356">
        <f t="shared" si="9"/>
        <v>14.984434547774486</v>
      </c>
      <c r="M33" s="357">
        <f t="shared" si="10"/>
        <v>29</v>
      </c>
      <c r="O33" s="635" t="s">
        <v>35</v>
      </c>
      <c r="P33" s="636"/>
      <c r="Q33" s="348">
        <v>102677700</v>
      </c>
      <c r="S33" s="635" t="s">
        <v>35</v>
      </c>
      <c r="T33" s="636"/>
      <c r="U33" s="348">
        <v>6039152</v>
      </c>
    </row>
    <row r="34" spans="1:21">
      <c r="A34" s="349" t="s">
        <v>55</v>
      </c>
      <c r="B34" s="350">
        <v>63300</v>
      </c>
      <c r="C34" s="351">
        <f t="shared" si="1"/>
        <v>34605.103999999999</v>
      </c>
      <c r="D34" s="352">
        <f t="shared" si="2"/>
        <v>54.66841074249605</v>
      </c>
      <c r="E34" s="341">
        <f t="shared" si="3"/>
        <v>188.49600000000001</v>
      </c>
      <c r="F34" s="353">
        <f t="shared" si="0"/>
        <v>1191.9079999999999</v>
      </c>
      <c r="G34" s="354">
        <f t="shared" si="4"/>
        <v>3.4443127233485553</v>
      </c>
      <c r="H34" s="341">
        <f t="shared" si="5"/>
        <v>13.484999999999999</v>
      </c>
      <c r="I34" s="344">
        <f t="shared" si="6"/>
        <v>1.2999999999999999E-3</v>
      </c>
      <c r="J34" s="355">
        <f t="shared" si="7"/>
        <v>0.03</v>
      </c>
      <c r="K34" s="356">
        <f t="shared" si="8"/>
        <v>2.1854364296998421</v>
      </c>
      <c r="L34" s="356">
        <f t="shared" si="9"/>
        <v>16.370523222748812</v>
      </c>
      <c r="M34" s="357">
        <f t="shared" si="10"/>
        <v>6</v>
      </c>
      <c r="O34" s="639" t="s">
        <v>174</v>
      </c>
      <c r="P34" s="640"/>
      <c r="Q34" s="359">
        <v>103687455</v>
      </c>
      <c r="S34" s="639" t="s">
        <v>174</v>
      </c>
      <c r="T34" s="640"/>
      <c r="U34" s="359">
        <v>6564054</v>
      </c>
    </row>
    <row r="35" spans="1:21">
      <c r="A35" s="349" t="s">
        <v>57</v>
      </c>
      <c r="B35" s="350">
        <v>90004</v>
      </c>
      <c r="C35" s="351">
        <f t="shared" si="1"/>
        <v>45584.495999999999</v>
      </c>
      <c r="D35" s="352">
        <f t="shared" si="2"/>
        <v>50.64718901382161</v>
      </c>
      <c r="E35" s="341">
        <f t="shared" si="3"/>
        <v>223.84299999999999</v>
      </c>
      <c r="F35" s="353">
        <f t="shared" si="0"/>
        <v>2116.4969999999998</v>
      </c>
      <c r="G35" s="354">
        <f t="shared" si="4"/>
        <v>4.6430194160751492</v>
      </c>
      <c r="H35" s="341">
        <f t="shared" si="5"/>
        <v>9.6310000000000002</v>
      </c>
      <c r="I35" s="344">
        <f t="shared" si="6"/>
        <v>1.2999999999999999E-3</v>
      </c>
      <c r="J35" s="355">
        <f t="shared" si="7"/>
        <v>0.03</v>
      </c>
      <c r="K35" s="356">
        <f t="shared" si="8"/>
        <v>2.0245875605528645</v>
      </c>
      <c r="L35" s="356">
        <f t="shared" si="9"/>
        <v>15.164156704146484</v>
      </c>
      <c r="M35" s="357">
        <f t="shared" si="10"/>
        <v>20</v>
      </c>
      <c r="O35" s="635" t="s">
        <v>37</v>
      </c>
      <c r="P35" s="636"/>
      <c r="Q35" s="348">
        <v>73619759</v>
      </c>
      <c r="S35" s="635" t="s">
        <v>37</v>
      </c>
      <c r="T35" s="636"/>
      <c r="U35" s="348">
        <v>4841055</v>
      </c>
    </row>
    <row r="36" spans="1:21">
      <c r="A36" s="349" t="s">
        <v>56</v>
      </c>
      <c r="B36" s="350">
        <v>101103</v>
      </c>
      <c r="C36" s="351">
        <f t="shared" si="1"/>
        <v>54237.673999999999</v>
      </c>
      <c r="D36" s="352">
        <f t="shared" si="2"/>
        <v>53.645959071441993</v>
      </c>
      <c r="E36" s="341">
        <f t="shared" si="3"/>
        <v>286.29199999999997</v>
      </c>
      <c r="F36" s="353">
        <f t="shared" si="0"/>
        <v>2521.4479999999999</v>
      </c>
      <c r="G36" s="354">
        <f t="shared" si="4"/>
        <v>4.6488866760768532</v>
      </c>
      <c r="H36" s="341">
        <f t="shared" si="5"/>
        <v>28.094999999999999</v>
      </c>
      <c r="I36" s="344">
        <f t="shared" si="6"/>
        <v>1.2999999999999999E-3</v>
      </c>
      <c r="J36" s="355">
        <f t="shared" si="7"/>
        <v>0.03</v>
      </c>
      <c r="K36" s="356">
        <f t="shared" si="8"/>
        <v>2.1445383628576797</v>
      </c>
      <c r="L36" s="356">
        <f t="shared" si="9"/>
        <v>16.063787721432597</v>
      </c>
      <c r="M36" s="357">
        <f t="shared" si="10"/>
        <v>8</v>
      </c>
      <c r="O36" s="635" t="s">
        <v>38</v>
      </c>
      <c r="P36" s="636"/>
      <c r="Q36" s="348">
        <v>105648695</v>
      </c>
      <c r="S36" s="635" t="s">
        <v>38</v>
      </c>
      <c r="T36" s="636"/>
      <c r="U36" s="348">
        <v>4974091</v>
      </c>
    </row>
    <row r="37" spans="1:21">
      <c r="A37" s="349" t="s">
        <v>58</v>
      </c>
      <c r="B37" s="350">
        <v>128698</v>
      </c>
      <c r="C37" s="351">
        <f t="shared" si="1"/>
        <v>67315.865999999995</v>
      </c>
      <c r="D37" s="352">
        <f t="shared" si="2"/>
        <v>52.305293011546404</v>
      </c>
      <c r="E37" s="341">
        <f t="shared" si="3"/>
        <v>355.572</v>
      </c>
      <c r="F37" s="353">
        <f t="shared" si="0"/>
        <v>3372.1080000000002</v>
      </c>
      <c r="G37" s="354">
        <f t="shared" si="4"/>
        <v>5.0093807008291336</v>
      </c>
      <c r="H37" s="341">
        <f t="shared" si="5"/>
        <v>18.364999999999998</v>
      </c>
      <c r="I37" s="344">
        <f t="shared" si="6"/>
        <v>1.2999999999999999E-3</v>
      </c>
      <c r="J37" s="355">
        <f t="shared" si="7"/>
        <v>0.03</v>
      </c>
      <c r="K37" s="356">
        <f t="shared" si="8"/>
        <v>2.0909117204618561</v>
      </c>
      <c r="L37" s="356">
        <f t="shared" si="9"/>
        <v>15.661587903463921</v>
      </c>
      <c r="M37" s="357">
        <f t="shared" si="10"/>
        <v>10</v>
      </c>
      <c r="O37" s="635" t="s">
        <v>40</v>
      </c>
      <c r="P37" s="636"/>
      <c r="Q37" s="348">
        <v>92933097</v>
      </c>
      <c r="S37" s="635" t="s">
        <v>40</v>
      </c>
      <c r="T37" s="636"/>
      <c r="U37" s="348">
        <v>4937199</v>
      </c>
    </row>
    <row r="38" spans="1:21">
      <c r="A38" s="349" t="s">
        <v>60</v>
      </c>
      <c r="B38" s="350">
        <v>89892</v>
      </c>
      <c r="C38" s="351">
        <f t="shared" si="1"/>
        <v>43486.516000000003</v>
      </c>
      <c r="D38" s="352">
        <f t="shared" si="2"/>
        <v>48.376402794464475</v>
      </c>
      <c r="E38" s="341">
        <f t="shared" si="3"/>
        <v>184.18199999999999</v>
      </c>
      <c r="F38" s="353">
        <f t="shared" si="0"/>
        <v>1482.703</v>
      </c>
      <c r="G38" s="354">
        <f t="shared" si="4"/>
        <v>3.4095695318521257</v>
      </c>
      <c r="H38" s="341">
        <f t="shared" si="5"/>
        <v>5.3959999999999999</v>
      </c>
      <c r="I38" s="344">
        <f t="shared" si="6"/>
        <v>1.2999999999999999E-3</v>
      </c>
      <c r="J38" s="355">
        <f t="shared" si="7"/>
        <v>0.03</v>
      </c>
      <c r="K38" s="356">
        <f t="shared" si="8"/>
        <v>1.9337561117785789</v>
      </c>
      <c r="L38" s="356">
        <f t="shared" si="9"/>
        <v>14.482920838339343</v>
      </c>
      <c r="M38" s="357">
        <f t="shared" si="10"/>
        <v>40</v>
      </c>
      <c r="O38" s="635" t="s">
        <v>43</v>
      </c>
      <c r="P38" s="636"/>
      <c r="Q38" s="348">
        <v>103312953</v>
      </c>
      <c r="S38" s="635" t="s">
        <v>43</v>
      </c>
      <c r="T38" s="636"/>
      <c r="U38" s="348">
        <v>5197802</v>
      </c>
    </row>
    <row r="39" spans="1:21">
      <c r="A39" s="349" t="s">
        <v>62</v>
      </c>
      <c r="B39" s="350">
        <v>107227</v>
      </c>
      <c r="C39" s="351">
        <f t="shared" si="1"/>
        <v>53094.129000000001</v>
      </c>
      <c r="D39" s="352">
        <f t="shared" si="2"/>
        <v>49.515634122002858</v>
      </c>
      <c r="E39" s="341">
        <f t="shared" si="3"/>
        <v>301.161</v>
      </c>
      <c r="F39" s="353">
        <f t="shared" si="0"/>
        <v>2785.2820000000002</v>
      </c>
      <c r="G39" s="354">
        <f t="shared" si="4"/>
        <v>5.245932182068568</v>
      </c>
      <c r="H39" s="341">
        <f t="shared" si="5"/>
        <v>22.716999999999999</v>
      </c>
      <c r="I39" s="344">
        <f t="shared" si="6"/>
        <v>1.2999999999999999E-3</v>
      </c>
      <c r="J39" s="355">
        <f t="shared" si="7"/>
        <v>0.03</v>
      </c>
      <c r="K39" s="356">
        <f t="shared" si="8"/>
        <v>1.9793253648801143</v>
      </c>
      <c r="L39" s="356">
        <f t="shared" si="9"/>
        <v>14.824690236600857</v>
      </c>
      <c r="M39" s="357">
        <f t="shared" si="10"/>
        <v>34</v>
      </c>
      <c r="O39" s="635" t="s">
        <v>29</v>
      </c>
      <c r="P39" s="636"/>
      <c r="Q39" s="348">
        <v>124139983</v>
      </c>
      <c r="S39" s="635" t="s">
        <v>29</v>
      </c>
      <c r="T39" s="636"/>
      <c r="U39" s="348">
        <v>6538645</v>
      </c>
    </row>
    <row r="40" spans="1:21">
      <c r="A40" s="349" t="s">
        <v>63</v>
      </c>
      <c r="B40" s="350">
        <v>67040</v>
      </c>
      <c r="C40" s="351">
        <f t="shared" si="1"/>
        <v>35047.116999999998</v>
      </c>
      <c r="D40" s="352">
        <f t="shared" si="2"/>
        <v>52.27791915274463</v>
      </c>
      <c r="E40" s="341">
        <f t="shared" si="3"/>
        <v>141.42500000000001</v>
      </c>
      <c r="F40" s="353">
        <f t="shared" si="0"/>
        <v>1564.886</v>
      </c>
      <c r="G40" s="354">
        <f t="shared" si="4"/>
        <v>4.4650919503592839</v>
      </c>
      <c r="H40" s="341">
        <f t="shared" si="5"/>
        <v>11.234</v>
      </c>
      <c r="I40" s="344">
        <f t="shared" si="6"/>
        <v>1.2999999999999999E-3</v>
      </c>
      <c r="J40" s="355">
        <f t="shared" si="7"/>
        <v>0.03</v>
      </c>
      <c r="K40" s="356">
        <f t="shared" si="8"/>
        <v>2.0898167661097853</v>
      </c>
      <c r="L40" s="356">
        <f t="shared" si="9"/>
        <v>15.653375745823389</v>
      </c>
      <c r="M40" s="357">
        <f t="shared" si="10"/>
        <v>11</v>
      </c>
      <c r="O40" s="635" t="s">
        <v>41</v>
      </c>
      <c r="P40" s="636"/>
      <c r="Q40" s="348">
        <v>187597431</v>
      </c>
      <c r="S40" s="635" t="s">
        <v>41</v>
      </c>
      <c r="T40" s="636"/>
      <c r="U40" s="348">
        <v>9565486</v>
      </c>
    </row>
    <row r="41" spans="1:21">
      <c r="A41" s="349" t="s">
        <v>65</v>
      </c>
      <c r="B41" s="350">
        <v>36364</v>
      </c>
      <c r="C41" s="351">
        <f t="shared" si="1"/>
        <v>21143.591</v>
      </c>
      <c r="D41" s="352">
        <f t="shared" si="2"/>
        <v>58.144293807061935</v>
      </c>
      <c r="E41" s="341">
        <f t="shared" si="3"/>
        <v>104.717</v>
      </c>
      <c r="F41" s="353">
        <f t="shared" si="0"/>
        <v>1093.9179999999999</v>
      </c>
      <c r="G41" s="354">
        <f t="shared" si="4"/>
        <v>5.1737569081808283</v>
      </c>
      <c r="H41" s="341">
        <f t="shared" si="5"/>
        <v>10.867000000000001</v>
      </c>
      <c r="I41" s="344">
        <f t="shared" si="6"/>
        <v>1.2999999999999999E-3</v>
      </c>
      <c r="J41" s="355">
        <f t="shared" si="7"/>
        <v>0.03</v>
      </c>
      <c r="K41" s="356">
        <f t="shared" si="8"/>
        <v>2.3244717522824772</v>
      </c>
      <c r="L41" s="356">
        <f t="shared" si="9"/>
        <v>17.413288142118578</v>
      </c>
      <c r="M41" s="357">
        <f t="shared" si="10"/>
        <v>3</v>
      </c>
      <c r="O41" s="635" t="s">
        <v>44</v>
      </c>
      <c r="P41" s="636"/>
      <c r="Q41" s="348">
        <v>97037941</v>
      </c>
      <c r="S41" s="635" t="s">
        <v>44</v>
      </c>
      <c r="T41" s="636"/>
      <c r="U41" s="348">
        <v>5575967</v>
      </c>
    </row>
    <row r="42" spans="1:21">
      <c r="A42" s="349" t="s">
        <v>64</v>
      </c>
      <c r="B42" s="350">
        <v>103189</v>
      </c>
      <c r="C42" s="351">
        <f t="shared" si="1"/>
        <v>51777.803</v>
      </c>
      <c r="D42" s="352">
        <f t="shared" si="2"/>
        <v>50.17763812034228</v>
      </c>
      <c r="E42" s="341">
        <f t="shared" si="3"/>
        <v>303.226</v>
      </c>
      <c r="F42" s="353">
        <f t="shared" si="0"/>
        <v>2958.7069999999999</v>
      </c>
      <c r="G42" s="354">
        <f t="shared" si="4"/>
        <v>5.7142382035792449</v>
      </c>
      <c r="H42" s="341">
        <f t="shared" si="5"/>
        <v>21.280999999999999</v>
      </c>
      <c r="I42" s="344">
        <f t="shared" si="6"/>
        <v>1.2999999999999999E-3</v>
      </c>
      <c r="J42" s="355">
        <f t="shared" si="7"/>
        <v>0.03</v>
      </c>
      <c r="K42" s="356">
        <f t="shared" si="8"/>
        <v>2.0058055248136912</v>
      </c>
      <c r="L42" s="356">
        <f t="shared" si="9"/>
        <v>15.023291436102683</v>
      </c>
      <c r="M42" s="357">
        <f t="shared" si="10"/>
        <v>25</v>
      </c>
      <c r="O42" s="635" t="s">
        <v>30</v>
      </c>
      <c r="P42" s="636"/>
      <c r="Q42" s="348">
        <v>82829685</v>
      </c>
      <c r="S42" s="635" t="s">
        <v>30</v>
      </c>
      <c r="T42" s="636"/>
      <c r="U42" s="348">
        <v>4453047</v>
      </c>
    </row>
    <row r="43" spans="1:21">
      <c r="A43" s="349" t="s">
        <v>66</v>
      </c>
      <c r="B43" s="350">
        <v>75365</v>
      </c>
      <c r="C43" s="351">
        <f t="shared" si="1"/>
        <v>37605.264000000003</v>
      </c>
      <c r="D43" s="352">
        <f t="shared" si="2"/>
        <v>49.897517415245808</v>
      </c>
      <c r="E43" s="341">
        <f t="shared" si="3"/>
        <v>152.81899999999999</v>
      </c>
      <c r="F43" s="353">
        <f t="shared" si="0"/>
        <v>1411.9929999999999</v>
      </c>
      <c r="G43" s="354">
        <f t="shared" si="4"/>
        <v>3.7547748634340121</v>
      </c>
      <c r="H43" s="341">
        <f t="shared" si="5"/>
        <v>16.931999999999999</v>
      </c>
      <c r="I43" s="344">
        <f t="shared" si="6"/>
        <v>1.2999999999999999E-3</v>
      </c>
      <c r="J43" s="355">
        <f t="shared" si="7"/>
        <v>0.03</v>
      </c>
      <c r="K43" s="356">
        <f t="shared" si="8"/>
        <v>1.9946006966098322</v>
      </c>
      <c r="L43" s="356">
        <f t="shared" si="9"/>
        <v>14.939255224573742</v>
      </c>
      <c r="M43" s="357">
        <f t="shared" si="10"/>
        <v>31</v>
      </c>
      <c r="O43" s="635" t="s">
        <v>47</v>
      </c>
      <c r="P43" s="636"/>
      <c r="Q43" s="348">
        <v>68225402</v>
      </c>
      <c r="S43" s="635" t="s">
        <v>47</v>
      </c>
      <c r="T43" s="636"/>
      <c r="U43" s="348">
        <v>3841601</v>
      </c>
    </row>
    <row r="44" spans="1:21">
      <c r="A44" s="360" t="s">
        <v>67</v>
      </c>
      <c r="B44" s="350">
        <v>99260</v>
      </c>
      <c r="C44" s="351">
        <f t="shared" si="1"/>
        <v>49983.45</v>
      </c>
      <c r="D44" s="352">
        <f t="shared" si="2"/>
        <v>50.356085029216196</v>
      </c>
      <c r="E44" s="341">
        <f t="shared" si="3"/>
        <v>305.803</v>
      </c>
      <c r="F44" s="353">
        <f t="shared" si="0"/>
        <v>2791.38</v>
      </c>
      <c r="G44" s="354">
        <f t="shared" si="4"/>
        <v>5.584608505415293</v>
      </c>
      <c r="H44" s="341">
        <f t="shared" si="5"/>
        <v>24.937999999999999</v>
      </c>
      <c r="I44" s="344">
        <f t="shared" si="6"/>
        <v>1.2999999999999999E-3</v>
      </c>
      <c r="J44" s="355">
        <f t="shared" si="7"/>
        <v>0.03</v>
      </c>
      <c r="K44" s="356">
        <f t="shared" si="8"/>
        <v>2.012943401168648</v>
      </c>
      <c r="L44" s="356">
        <f t="shared" si="9"/>
        <v>15.076825508764859</v>
      </c>
      <c r="M44" s="357">
        <f t="shared" si="10"/>
        <v>23</v>
      </c>
      <c r="O44" s="635" t="s">
        <v>48</v>
      </c>
      <c r="P44" s="636"/>
      <c r="Q44" s="348">
        <v>95123116</v>
      </c>
      <c r="S44" s="635" t="s">
        <v>48</v>
      </c>
      <c r="T44" s="636"/>
      <c r="U44" s="348">
        <v>4058969</v>
      </c>
    </row>
    <row r="45" spans="1:21" ht="17.25" thickBot="1">
      <c r="A45" s="318" t="s">
        <v>182</v>
      </c>
      <c r="B45" s="361">
        <f>SUM(B5:B44)</f>
        <v>7775000</v>
      </c>
      <c r="C45" s="362">
        <f>SUM(C5:C44)</f>
        <v>4063122.7370000016</v>
      </c>
      <c r="D45" s="363">
        <f>C45/B45%</f>
        <v>52.258813337620602</v>
      </c>
      <c r="E45" s="364">
        <f>SUM(E5:E44)</f>
        <v>21464.181</v>
      </c>
      <c r="F45" s="365">
        <f>SUM(F5:F44)</f>
        <v>203630.45</v>
      </c>
      <c r="G45" s="363">
        <f>F45/C45%</f>
        <v>5.0116736111779421</v>
      </c>
      <c r="H45" s="362">
        <f>SUM(H5:H44)</f>
        <v>1938.587</v>
      </c>
      <c r="I45" s="366"/>
      <c r="J45" s="367"/>
      <c r="K45" s="368"/>
      <c r="L45" s="368"/>
      <c r="M45" s="367"/>
      <c r="O45" s="635" t="s">
        <v>51</v>
      </c>
      <c r="P45" s="636"/>
      <c r="Q45" s="348">
        <v>144771528</v>
      </c>
      <c r="S45" s="635" t="s">
        <v>51</v>
      </c>
      <c r="T45" s="636"/>
      <c r="U45" s="348">
        <v>7458947</v>
      </c>
    </row>
    <row r="46" spans="1:21">
      <c r="O46" s="637"/>
      <c r="P46" s="638"/>
      <c r="Q46" s="183">
        <v>4063122737</v>
      </c>
      <c r="U46" s="183">
        <v>203630450</v>
      </c>
    </row>
    <row r="47" spans="1:21">
      <c r="Q47" s="183">
        <v>4063122737</v>
      </c>
      <c r="U47" s="183">
        <v>203630450</v>
      </c>
    </row>
    <row r="48" spans="1:21">
      <c r="O48" s="1" t="s">
        <v>204</v>
      </c>
      <c r="S48" s="1" t="s">
        <v>204</v>
      </c>
    </row>
    <row r="49" spans="15:21">
      <c r="O49" s="1" t="s">
        <v>196</v>
      </c>
      <c r="S49" s="1" t="s">
        <v>197</v>
      </c>
    </row>
    <row r="50" spans="15:21" ht="33.75">
      <c r="O50" s="369"/>
      <c r="P50" s="370" t="s">
        <v>201</v>
      </c>
      <c r="Q50" s="371" t="s">
        <v>202</v>
      </c>
      <c r="S50" s="369"/>
      <c r="T50" s="370" t="s">
        <v>201</v>
      </c>
      <c r="U50" s="371" t="s">
        <v>203</v>
      </c>
    </row>
    <row r="51" spans="15:21">
      <c r="O51" s="641" t="s">
        <v>49</v>
      </c>
      <c r="P51" s="642"/>
      <c r="Q51" s="348">
        <v>187601530</v>
      </c>
      <c r="S51" s="641" t="s">
        <v>49</v>
      </c>
      <c r="T51" s="642"/>
      <c r="U51" s="348">
        <v>9103549</v>
      </c>
    </row>
    <row r="52" spans="15:21">
      <c r="O52" s="635" t="s">
        <v>28</v>
      </c>
      <c r="P52" s="636"/>
      <c r="Q52" s="348">
        <v>223854283</v>
      </c>
      <c r="S52" s="635" t="s">
        <v>28</v>
      </c>
      <c r="T52" s="636"/>
      <c r="U52" s="348">
        <v>7661018</v>
      </c>
    </row>
    <row r="53" spans="15:21">
      <c r="O53" s="635" t="s">
        <v>32</v>
      </c>
      <c r="P53" s="636"/>
      <c r="Q53" s="348">
        <v>146114576</v>
      </c>
      <c r="S53" s="635" t="s">
        <v>32</v>
      </c>
      <c r="T53" s="636"/>
      <c r="U53" s="348">
        <v>9066982</v>
      </c>
    </row>
    <row r="54" spans="15:21">
      <c r="O54" s="635" t="s">
        <v>64</v>
      </c>
      <c r="P54" s="636"/>
      <c r="Q54" s="348">
        <v>51474577</v>
      </c>
      <c r="S54" s="635" t="s">
        <v>64</v>
      </c>
      <c r="T54" s="636"/>
      <c r="U54" s="348">
        <v>2937426</v>
      </c>
    </row>
    <row r="55" spans="15:21">
      <c r="O55" s="635" t="s">
        <v>61</v>
      </c>
      <c r="P55" s="636"/>
      <c r="Q55" s="348">
        <v>64761956</v>
      </c>
      <c r="S55" s="635" t="s">
        <v>61</v>
      </c>
      <c r="T55" s="636"/>
      <c r="U55" s="348">
        <v>4174213</v>
      </c>
    </row>
    <row r="56" spans="15:21">
      <c r="O56" s="635" t="s">
        <v>57</v>
      </c>
      <c r="P56" s="636"/>
      <c r="Q56" s="348">
        <v>45360653</v>
      </c>
      <c r="S56" s="635" t="s">
        <v>57</v>
      </c>
      <c r="T56" s="636"/>
      <c r="U56" s="348">
        <v>2106866</v>
      </c>
    </row>
    <row r="57" spans="15:21">
      <c r="O57" s="635" t="s">
        <v>52</v>
      </c>
      <c r="P57" s="636"/>
      <c r="Q57" s="348">
        <v>107316686</v>
      </c>
      <c r="S57" s="635" t="s">
        <v>52</v>
      </c>
      <c r="T57" s="636"/>
      <c r="U57" s="348">
        <v>5701448</v>
      </c>
    </row>
    <row r="58" spans="15:21">
      <c r="O58" s="635" t="s">
        <v>55</v>
      </c>
      <c r="P58" s="636"/>
      <c r="Q58" s="348">
        <v>34416608</v>
      </c>
      <c r="S58" s="635" t="s">
        <v>55</v>
      </c>
      <c r="T58" s="636"/>
      <c r="U58" s="348">
        <v>1178423</v>
      </c>
    </row>
    <row r="59" spans="15:21">
      <c r="O59" s="635" t="s">
        <v>56</v>
      </c>
      <c r="P59" s="636"/>
      <c r="Q59" s="348">
        <v>53951382</v>
      </c>
      <c r="S59" s="635" t="s">
        <v>56</v>
      </c>
      <c r="T59" s="636"/>
      <c r="U59" s="348">
        <v>2493353</v>
      </c>
    </row>
    <row r="60" spans="15:21">
      <c r="O60" s="635" t="s">
        <v>58</v>
      </c>
      <c r="P60" s="636"/>
      <c r="Q60" s="348">
        <v>66960294</v>
      </c>
      <c r="S60" s="635" t="s">
        <v>58</v>
      </c>
      <c r="T60" s="636"/>
      <c r="U60" s="348">
        <v>3353743</v>
      </c>
    </row>
    <row r="61" spans="15:21">
      <c r="O61" s="635" t="s">
        <v>60</v>
      </c>
      <c r="P61" s="636"/>
      <c r="Q61" s="348">
        <v>43302334</v>
      </c>
      <c r="S61" s="635" t="s">
        <v>60</v>
      </c>
      <c r="T61" s="636"/>
      <c r="U61" s="348">
        <v>1477307</v>
      </c>
    </row>
    <row r="62" spans="15:21">
      <c r="O62" s="635" t="s">
        <v>53</v>
      </c>
      <c r="P62" s="636"/>
      <c r="Q62" s="348">
        <v>93961949</v>
      </c>
      <c r="S62" s="635" t="s">
        <v>53</v>
      </c>
      <c r="T62" s="636"/>
      <c r="U62" s="348">
        <v>4655808</v>
      </c>
    </row>
    <row r="63" spans="15:21">
      <c r="O63" s="635" t="s">
        <v>54</v>
      </c>
      <c r="P63" s="636"/>
      <c r="Q63" s="348">
        <v>80240022</v>
      </c>
      <c r="S63" s="635" t="s">
        <v>54</v>
      </c>
      <c r="T63" s="636"/>
      <c r="U63" s="348">
        <v>5828553</v>
      </c>
    </row>
    <row r="64" spans="15:21">
      <c r="O64" s="635" t="s">
        <v>59</v>
      </c>
      <c r="P64" s="636"/>
      <c r="Q64" s="348">
        <v>63992546</v>
      </c>
      <c r="S64" s="635" t="s">
        <v>59</v>
      </c>
      <c r="T64" s="636"/>
      <c r="U64" s="348">
        <v>3455913</v>
      </c>
    </row>
    <row r="65" spans="15:22">
      <c r="O65" s="635" t="s">
        <v>33</v>
      </c>
      <c r="P65" s="636"/>
      <c r="Q65" s="348">
        <v>123355202</v>
      </c>
      <c r="S65" s="635" t="s">
        <v>33</v>
      </c>
      <c r="T65" s="636"/>
      <c r="U65" s="348">
        <v>5991855</v>
      </c>
    </row>
    <row r="66" spans="15:22">
      <c r="O66" s="635" t="s">
        <v>50</v>
      </c>
      <c r="P66" s="636"/>
      <c r="Q66" s="348">
        <v>109164322</v>
      </c>
      <c r="S66" s="635" t="s">
        <v>50</v>
      </c>
      <c r="T66" s="636"/>
      <c r="U66" s="348">
        <v>6727489</v>
      </c>
    </row>
    <row r="67" spans="15:22">
      <c r="O67" s="635" t="s">
        <v>62</v>
      </c>
      <c r="P67" s="636"/>
      <c r="Q67" s="348">
        <v>52792968</v>
      </c>
      <c r="S67" s="635" t="s">
        <v>62</v>
      </c>
      <c r="T67" s="636"/>
      <c r="U67" s="348">
        <v>2762565</v>
      </c>
    </row>
    <row r="68" spans="15:22">
      <c r="O68" s="635" t="s">
        <v>34</v>
      </c>
      <c r="P68" s="636"/>
      <c r="Q68" s="348">
        <v>125623997</v>
      </c>
      <c r="S68" s="635" t="s">
        <v>34</v>
      </c>
      <c r="T68" s="636"/>
      <c r="U68" s="348">
        <v>6585930</v>
      </c>
    </row>
    <row r="69" spans="15:22">
      <c r="O69" s="635" t="s">
        <v>66</v>
      </c>
      <c r="P69" s="636"/>
      <c r="Q69" s="348">
        <v>37452445</v>
      </c>
      <c r="S69" s="635" t="s">
        <v>66</v>
      </c>
      <c r="T69" s="636"/>
      <c r="U69" s="348">
        <v>1395061</v>
      </c>
    </row>
    <row r="70" spans="15:22">
      <c r="O70" s="635" t="s">
        <v>63</v>
      </c>
      <c r="P70" s="636"/>
      <c r="Q70" s="348">
        <v>34905692</v>
      </c>
      <c r="S70" s="635" t="s">
        <v>63</v>
      </c>
      <c r="T70" s="636"/>
      <c r="U70" s="348">
        <v>1553652</v>
      </c>
    </row>
    <row r="71" spans="15:22">
      <c r="O71" s="635" t="s">
        <v>65</v>
      </c>
      <c r="P71" s="636"/>
      <c r="Q71" s="348">
        <v>21038874</v>
      </c>
      <c r="S71" s="635" t="s">
        <v>65</v>
      </c>
      <c r="T71" s="636"/>
      <c r="U71" s="348">
        <v>1083051</v>
      </c>
    </row>
    <row r="72" spans="15:22">
      <c r="O72" s="635" t="s">
        <v>45</v>
      </c>
      <c r="P72" s="636"/>
      <c r="Q72" s="348">
        <v>132639666</v>
      </c>
      <c r="S72" s="635" t="s">
        <v>45</v>
      </c>
      <c r="T72" s="636"/>
      <c r="U72" s="348">
        <v>6389644</v>
      </c>
    </row>
    <row r="73" spans="15:22">
      <c r="O73" s="635" t="s">
        <v>67</v>
      </c>
      <c r="P73" s="636"/>
      <c r="Q73" s="348">
        <v>49677647</v>
      </c>
      <c r="S73" s="635" t="s">
        <v>67</v>
      </c>
      <c r="T73" s="636"/>
      <c r="U73" s="348">
        <v>2766442</v>
      </c>
    </row>
    <row r="74" spans="15:22">
      <c r="O74" s="635" t="s">
        <v>39</v>
      </c>
      <c r="P74" s="636"/>
      <c r="Q74" s="348">
        <v>155161298</v>
      </c>
      <c r="S74" s="635" t="s">
        <v>39</v>
      </c>
      <c r="T74" s="636"/>
      <c r="U74" s="348">
        <v>6714058</v>
      </c>
    </row>
    <row r="75" spans="15:22">
      <c r="O75" s="635" t="s">
        <v>46</v>
      </c>
      <c r="P75" s="636"/>
      <c r="Q75" s="348">
        <v>88273845</v>
      </c>
      <c r="S75" s="635" t="s">
        <v>46</v>
      </c>
      <c r="T75" s="636"/>
      <c r="U75" s="348">
        <v>3296462</v>
      </c>
    </row>
    <row r="76" spans="15:22">
      <c r="O76" s="639" t="s">
        <v>31</v>
      </c>
      <c r="P76" s="640"/>
      <c r="Q76" s="359">
        <v>132806095</v>
      </c>
      <c r="R76" s="235">
        <f>Q76+Q80</f>
        <v>235813594</v>
      </c>
      <c r="S76" s="639" t="s">
        <v>31</v>
      </c>
      <c r="T76" s="640"/>
      <c r="U76" s="359">
        <v>7411104</v>
      </c>
      <c r="V76" s="235">
        <f>U76+U80</f>
        <v>13857021</v>
      </c>
    </row>
    <row r="77" spans="15:22">
      <c r="O77" s="635" t="s">
        <v>42</v>
      </c>
      <c r="P77" s="636"/>
      <c r="Q77" s="348">
        <v>283154911</v>
      </c>
      <c r="S77" s="635" t="s">
        <v>42</v>
      </c>
      <c r="T77" s="636"/>
      <c r="U77" s="348">
        <v>9405438</v>
      </c>
    </row>
    <row r="78" spans="15:22">
      <c r="O78" s="635" t="s">
        <v>36</v>
      </c>
      <c r="P78" s="636"/>
      <c r="Q78" s="348">
        <v>58094498</v>
      </c>
      <c r="S78" s="635" t="s">
        <v>36</v>
      </c>
      <c r="T78" s="636"/>
      <c r="U78" s="348">
        <v>3218042</v>
      </c>
    </row>
    <row r="79" spans="15:22">
      <c r="O79" s="635" t="s">
        <v>35</v>
      </c>
      <c r="P79" s="636"/>
      <c r="Q79" s="348">
        <v>102038616</v>
      </c>
      <c r="S79" s="635" t="s">
        <v>35</v>
      </c>
      <c r="T79" s="636"/>
      <c r="U79" s="348">
        <v>5982513</v>
      </c>
    </row>
    <row r="80" spans="15:22">
      <c r="O80" s="639" t="s">
        <v>174</v>
      </c>
      <c r="P80" s="640"/>
      <c r="Q80" s="359">
        <v>103007499</v>
      </c>
      <c r="S80" s="639" t="s">
        <v>174</v>
      </c>
      <c r="T80" s="640"/>
      <c r="U80" s="359">
        <v>6445917</v>
      </c>
    </row>
    <row r="81" spans="15:22">
      <c r="O81" s="635" t="s">
        <v>37</v>
      </c>
      <c r="P81" s="636"/>
      <c r="Q81" s="348">
        <v>73227352</v>
      </c>
      <c r="S81" s="635" t="s">
        <v>37</v>
      </c>
      <c r="T81" s="636"/>
      <c r="U81" s="348">
        <v>4782105</v>
      </c>
    </row>
    <row r="82" spans="15:22">
      <c r="O82" s="635" t="s">
        <v>38</v>
      </c>
      <c r="P82" s="636"/>
      <c r="Q82" s="348">
        <v>105103375</v>
      </c>
      <c r="S82" s="635" t="s">
        <v>38</v>
      </c>
      <c r="T82" s="636"/>
      <c r="U82" s="348">
        <v>4927587</v>
      </c>
    </row>
    <row r="83" spans="15:22">
      <c r="O83" s="635" t="s">
        <v>40</v>
      </c>
      <c r="P83" s="636"/>
      <c r="Q83" s="348">
        <v>92469360</v>
      </c>
      <c r="S83" s="635" t="s">
        <v>40</v>
      </c>
      <c r="T83" s="636"/>
      <c r="U83" s="348">
        <v>4880094</v>
      </c>
    </row>
    <row r="84" spans="15:22">
      <c r="O84" s="635" t="s">
        <v>43</v>
      </c>
      <c r="P84" s="636"/>
      <c r="Q84" s="348">
        <v>102797364</v>
      </c>
      <c r="S84" s="635" t="s">
        <v>43</v>
      </c>
      <c r="T84" s="636"/>
      <c r="U84" s="348">
        <v>5136639</v>
      </c>
    </row>
    <row r="85" spans="15:22">
      <c r="O85" s="635" t="s">
        <v>29</v>
      </c>
      <c r="P85" s="636"/>
      <c r="Q85" s="348">
        <v>123543561</v>
      </c>
      <c r="S85" s="635" t="s">
        <v>29</v>
      </c>
      <c r="T85" s="636"/>
      <c r="U85" s="348">
        <v>6464544</v>
      </c>
    </row>
    <row r="86" spans="15:22">
      <c r="O86" s="635" t="s">
        <v>41</v>
      </c>
      <c r="P86" s="636"/>
      <c r="Q86" s="348">
        <v>186621528</v>
      </c>
      <c r="S86" s="635" t="s">
        <v>41</v>
      </c>
      <c r="T86" s="636"/>
      <c r="U86" s="348">
        <v>9473938</v>
      </c>
    </row>
    <row r="87" spans="15:22">
      <c r="O87" s="635" t="s">
        <v>44</v>
      </c>
      <c r="P87" s="636"/>
      <c r="Q87" s="348">
        <v>96494603</v>
      </c>
      <c r="S87" s="635" t="s">
        <v>44</v>
      </c>
      <c r="T87" s="636"/>
      <c r="U87" s="348">
        <v>5492331</v>
      </c>
    </row>
    <row r="88" spans="15:22">
      <c r="O88" s="635" t="s">
        <v>30</v>
      </c>
      <c r="P88" s="636"/>
      <c r="Q88" s="348">
        <v>82385919</v>
      </c>
      <c r="S88" s="635" t="s">
        <v>30</v>
      </c>
      <c r="T88" s="636"/>
      <c r="U88" s="348">
        <v>4421421</v>
      </c>
    </row>
    <row r="89" spans="15:22">
      <c r="O89" s="635" t="s">
        <v>47</v>
      </c>
      <c r="P89" s="636"/>
      <c r="Q89" s="348">
        <v>67861284</v>
      </c>
      <c r="S89" s="635" t="s">
        <v>47</v>
      </c>
      <c r="T89" s="636"/>
      <c r="U89" s="348">
        <v>3812168</v>
      </c>
    </row>
    <row r="90" spans="15:22">
      <c r="O90" s="635" t="s">
        <v>48</v>
      </c>
      <c r="P90" s="636"/>
      <c r="Q90" s="348">
        <v>94592281</v>
      </c>
      <c r="S90" s="635" t="s">
        <v>48</v>
      </c>
      <c r="T90" s="636"/>
      <c r="U90" s="348">
        <v>4005802</v>
      </c>
    </row>
    <row r="91" spans="15:22">
      <c r="O91" s="635" t="s">
        <v>51</v>
      </c>
      <c r="P91" s="636"/>
      <c r="Q91" s="348">
        <v>144064958</v>
      </c>
      <c r="S91" s="635" t="s">
        <v>51</v>
      </c>
      <c r="T91" s="636"/>
      <c r="U91" s="348">
        <v>7371409</v>
      </c>
      <c r="V91" s="235"/>
    </row>
    <row r="92" spans="15:22">
      <c r="O92" s="637"/>
      <c r="P92" s="638"/>
      <c r="Q92" s="183">
        <v>4041658556</v>
      </c>
      <c r="U92" s="183">
        <v>201691863</v>
      </c>
    </row>
    <row r="93" spans="15:22">
      <c r="Q93" s="183">
        <v>4041658556</v>
      </c>
    </row>
  </sheetData>
  <mergeCells count="174">
    <mergeCell ref="A1:M1"/>
    <mergeCell ref="L2:M2"/>
    <mergeCell ref="A3:A4"/>
    <mergeCell ref="B3:D3"/>
    <mergeCell ref="F3:J3"/>
    <mergeCell ref="K3:K4"/>
    <mergeCell ref="L3:L4"/>
    <mergeCell ref="M3:M4"/>
    <mergeCell ref="O8:P8"/>
    <mergeCell ref="S8:T8"/>
    <mergeCell ref="O9:P9"/>
    <mergeCell ref="S9:T9"/>
    <mergeCell ref="O10:P10"/>
    <mergeCell ref="S10:T10"/>
    <mergeCell ref="O5:P5"/>
    <mergeCell ref="S5:T5"/>
    <mergeCell ref="O6:P6"/>
    <mergeCell ref="S6:T6"/>
    <mergeCell ref="O7:P7"/>
    <mergeCell ref="S7:T7"/>
    <mergeCell ref="O14:P14"/>
    <mergeCell ref="S14:T14"/>
    <mergeCell ref="O15:P15"/>
    <mergeCell ref="S15:T15"/>
    <mergeCell ref="O16:P16"/>
    <mergeCell ref="S16:T16"/>
    <mergeCell ref="O11:P11"/>
    <mergeCell ref="S11:T11"/>
    <mergeCell ref="O12:P12"/>
    <mergeCell ref="S12:T12"/>
    <mergeCell ref="O13:P13"/>
    <mergeCell ref="S13:T13"/>
    <mergeCell ref="O20:P20"/>
    <mergeCell ref="S20:T20"/>
    <mergeCell ref="O21:P21"/>
    <mergeCell ref="S21:T21"/>
    <mergeCell ref="O22:P22"/>
    <mergeCell ref="S22:T22"/>
    <mergeCell ref="O17:P17"/>
    <mergeCell ref="S17:T17"/>
    <mergeCell ref="O18:P18"/>
    <mergeCell ref="S18:T18"/>
    <mergeCell ref="O19:P19"/>
    <mergeCell ref="S19:T19"/>
    <mergeCell ref="O26:P26"/>
    <mergeCell ref="S26:T26"/>
    <mergeCell ref="O27:P27"/>
    <mergeCell ref="S27:T27"/>
    <mergeCell ref="O28:P28"/>
    <mergeCell ref="S28:T28"/>
    <mergeCell ref="O23:P23"/>
    <mergeCell ref="S23:T23"/>
    <mergeCell ref="O24:P24"/>
    <mergeCell ref="S24:T24"/>
    <mergeCell ref="O25:P25"/>
    <mergeCell ref="S25:T25"/>
    <mergeCell ref="O32:P32"/>
    <mergeCell ref="S32:T32"/>
    <mergeCell ref="O33:P33"/>
    <mergeCell ref="S33:T33"/>
    <mergeCell ref="O34:P34"/>
    <mergeCell ref="S34:T34"/>
    <mergeCell ref="O29:P29"/>
    <mergeCell ref="S29:T29"/>
    <mergeCell ref="O30:P30"/>
    <mergeCell ref="S30:T30"/>
    <mergeCell ref="O31:P31"/>
    <mergeCell ref="S31:T31"/>
    <mergeCell ref="O38:P38"/>
    <mergeCell ref="S38:T38"/>
    <mergeCell ref="O39:P39"/>
    <mergeCell ref="S39:T39"/>
    <mergeCell ref="O40:P40"/>
    <mergeCell ref="S40:T40"/>
    <mergeCell ref="O35:P35"/>
    <mergeCell ref="S35:T35"/>
    <mergeCell ref="O36:P36"/>
    <mergeCell ref="S36:T36"/>
    <mergeCell ref="O37:P37"/>
    <mergeCell ref="S37:T37"/>
    <mergeCell ref="O44:P44"/>
    <mergeCell ref="S44:T44"/>
    <mergeCell ref="O45:P45"/>
    <mergeCell ref="S45:T45"/>
    <mergeCell ref="O46:P46"/>
    <mergeCell ref="O51:P51"/>
    <mergeCell ref="S51:T51"/>
    <mergeCell ref="O41:P41"/>
    <mergeCell ref="S41:T41"/>
    <mergeCell ref="O42:P42"/>
    <mergeCell ref="S42:T42"/>
    <mergeCell ref="O43:P43"/>
    <mergeCell ref="S43:T43"/>
    <mergeCell ref="O55:P55"/>
    <mergeCell ref="S55:T55"/>
    <mergeCell ref="O56:P56"/>
    <mergeCell ref="S56:T56"/>
    <mergeCell ref="O57:P57"/>
    <mergeCell ref="S57:T57"/>
    <mergeCell ref="O52:P52"/>
    <mergeCell ref="S52:T52"/>
    <mergeCell ref="O53:P53"/>
    <mergeCell ref="S53:T53"/>
    <mergeCell ref="O54:P54"/>
    <mergeCell ref="S54:T54"/>
    <mergeCell ref="O61:P61"/>
    <mergeCell ref="S61:T61"/>
    <mergeCell ref="O62:P62"/>
    <mergeCell ref="S62:T62"/>
    <mergeCell ref="O63:P63"/>
    <mergeCell ref="S63:T63"/>
    <mergeCell ref="O58:P58"/>
    <mergeCell ref="S58:T58"/>
    <mergeCell ref="O59:P59"/>
    <mergeCell ref="S59:T59"/>
    <mergeCell ref="O60:P60"/>
    <mergeCell ref="S60:T60"/>
    <mergeCell ref="O67:P67"/>
    <mergeCell ref="S67:T67"/>
    <mergeCell ref="O68:P68"/>
    <mergeCell ref="S68:T68"/>
    <mergeCell ref="O69:P69"/>
    <mergeCell ref="S69:T69"/>
    <mergeCell ref="O64:P64"/>
    <mergeCell ref="S64:T64"/>
    <mergeCell ref="O65:P65"/>
    <mergeCell ref="S65:T65"/>
    <mergeCell ref="O66:P66"/>
    <mergeCell ref="S66:T66"/>
    <mergeCell ref="O73:P73"/>
    <mergeCell ref="S73:T73"/>
    <mergeCell ref="O74:P74"/>
    <mergeCell ref="S74:T74"/>
    <mergeCell ref="O75:P75"/>
    <mergeCell ref="S75:T75"/>
    <mergeCell ref="O70:P70"/>
    <mergeCell ref="S70:T70"/>
    <mergeCell ref="O71:P71"/>
    <mergeCell ref="S71:T71"/>
    <mergeCell ref="O72:P72"/>
    <mergeCell ref="S72:T72"/>
    <mergeCell ref="O79:P79"/>
    <mergeCell ref="S79:T79"/>
    <mergeCell ref="O80:P80"/>
    <mergeCell ref="S80:T80"/>
    <mergeCell ref="O81:P81"/>
    <mergeCell ref="S81:T81"/>
    <mergeCell ref="O76:P76"/>
    <mergeCell ref="S76:T76"/>
    <mergeCell ref="O77:P77"/>
    <mergeCell ref="S77:T77"/>
    <mergeCell ref="O78:P78"/>
    <mergeCell ref="S78:T78"/>
    <mergeCell ref="O85:P85"/>
    <mergeCell ref="S85:T85"/>
    <mergeCell ref="O86:P86"/>
    <mergeCell ref="S86:T86"/>
    <mergeCell ref="O87:P87"/>
    <mergeCell ref="S87:T87"/>
    <mergeCell ref="O82:P82"/>
    <mergeCell ref="S82:T82"/>
    <mergeCell ref="O83:P83"/>
    <mergeCell ref="S83:T83"/>
    <mergeCell ref="O84:P84"/>
    <mergeCell ref="S84:T84"/>
    <mergeCell ref="O91:P91"/>
    <mergeCell ref="S91:T91"/>
    <mergeCell ref="O92:P92"/>
    <mergeCell ref="O88:P88"/>
    <mergeCell ref="S88:T88"/>
    <mergeCell ref="O89:P89"/>
    <mergeCell ref="S89:T89"/>
    <mergeCell ref="O90:P90"/>
    <mergeCell ref="S90:T90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H97"/>
  <sheetViews>
    <sheetView workbookViewId="0">
      <selection activeCell="AH10" sqref="AH10"/>
    </sheetView>
  </sheetViews>
  <sheetFormatPr defaultRowHeight="16.5"/>
  <cols>
    <col min="1" max="1" width="11.125" style="1" bestFit="1" customWidth="1"/>
    <col min="2" max="2" width="9.375" style="1" bestFit="1" customWidth="1"/>
    <col min="3" max="5" width="8.875" style="1" customWidth="1"/>
    <col min="6" max="6" width="9" style="1" customWidth="1"/>
    <col min="7" max="7" width="11.5" style="1" customWidth="1"/>
    <col min="8" max="8" width="10.375" style="1" bestFit="1" customWidth="1"/>
    <col min="9" max="9" width="9" style="1"/>
    <col min="10" max="10" width="8.625" style="1" customWidth="1"/>
    <col min="11" max="11" width="10.875" style="1" customWidth="1"/>
    <col min="12" max="12" width="11.25" style="1" customWidth="1"/>
    <col min="13" max="13" width="9.5" style="1" customWidth="1"/>
    <col min="14" max="20" width="9.5" style="1" hidden="1" customWidth="1"/>
    <col min="21" max="21" width="8.5" style="1" hidden="1" customWidth="1"/>
    <col min="22" max="22" width="9.5" style="1" hidden="1" customWidth="1"/>
    <col min="23" max="24" width="9" style="1" hidden="1" customWidth="1"/>
    <col min="25" max="31" width="0" style="1" hidden="1" customWidth="1"/>
    <col min="32" max="34" width="9" style="439"/>
    <col min="35" max="16384" width="9" style="1"/>
  </cols>
  <sheetData>
    <row r="1" spans="1:24" s="439" customFormat="1" ht="31.5">
      <c r="A1" s="643" t="s">
        <v>205</v>
      </c>
      <c r="B1" s="643"/>
      <c r="C1" s="643"/>
      <c r="D1" s="643"/>
      <c r="E1" s="643"/>
      <c r="F1" s="643"/>
      <c r="G1" s="643"/>
      <c r="H1" s="643"/>
      <c r="I1" s="643"/>
      <c r="J1" s="643"/>
      <c r="K1" s="643"/>
      <c r="L1" s="643"/>
      <c r="M1" s="643"/>
    </row>
    <row r="2" spans="1:24" s="439" customFormat="1" ht="17.25" thickBot="1">
      <c r="A2" s="524">
        <f>[1]종합점수!A2</f>
        <v>42216</v>
      </c>
      <c r="L2" s="657" t="s">
        <v>206</v>
      </c>
      <c r="M2" s="657"/>
    </row>
    <row r="3" spans="1:24">
      <c r="A3" s="645" t="s">
        <v>207</v>
      </c>
      <c r="B3" s="647" t="s">
        <v>208</v>
      </c>
      <c r="C3" s="648"/>
      <c r="D3" s="648"/>
      <c r="E3" s="658"/>
      <c r="F3" s="647" t="s">
        <v>209</v>
      </c>
      <c r="G3" s="648"/>
      <c r="H3" s="658"/>
      <c r="I3" s="647" t="s">
        <v>210</v>
      </c>
      <c r="J3" s="658"/>
      <c r="K3" s="659" t="s">
        <v>194</v>
      </c>
      <c r="L3" s="659" t="s">
        <v>211</v>
      </c>
      <c r="M3" s="655" t="s">
        <v>8</v>
      </c>
      <c r="O3" s="1">
        <v>1</v>
      </c>
      <c r="P3" s="1">
        <v>2</v>
      </c>
      <c r="Q3" s="1">
        <v>3</v>
      </c>
      <c r="R3" s="1">
        <v>4</v>
      </c>
      <c r="S3" s="1">
        <v>5</v>
      </c>
      <c r="T3" s="1">
        <v>6</v>
      </c>
      <c r="U3" s="1">
        <v>7</v>
      </c>
      <c r="V3" s="1">
        <v>8</v>
      </c>
      <c r="W3" s="1">
        <v>9</v>
      </c>
      <c r="X3" s="1">
        <v>10</v>
      </c>
    </row>
    <row r="4" spans="1:24" ht="24.75" thickBot="1">
      <c r="A4" s="646"/>
      <c r="B4" s="326" t="s">
        <v>13</v>
      </c>
      <c r="C4" s="326" t="s">
        <v>14</v>
      </c>
      <c r="D4" s="326" t="s">
        <v>15</v>
      </c>
      <c r="E4" s="327" t="s">
        <v>212</v>
      </c>
      <c r="F4" s="329" t="s">
        <v>209</v>
      </c>
      <c r="G4" s="326" t="s">
        <v>213</v>
      </c>
      <c r="H4" s="327" t="s">
        <v>214</v>
      </c>
      <c r="I4" s="326" t="s">
        <v>215</v>
      </c>
      <c r="J4" s="326" t="s">
        <v>216</v>
      </c>
      <c r="K4" s="660"/>
      <c r="L4" s="660"/>
      <c r="M4" s="656"/>
      <c r="O4" s="1" t="s">
        <v>217</v>
      </c>
    </row>
    <row r="5" spans="1:24" ht="33.75">
      <c r="A5" s="372" t="s">
        <v>28</v>
      </c>
      <c r="B5" s="145">
        <v>10583</v>
      </c>
      <c r="C5" s="373">
        <f>VLOOKUP(A5,$O$6:$T$48,3,FALSE)</f>
        <v>10145</v>
      </c>
      <c r="D5" s="374">
        <f>C5/B5%</f>
        <v>95.861286969668342</v>
      </c>
      <c r="E5" s="375">
        <f>VLOOKUP(A5,$O$6:$T$47,3,FALSE)-VLOOKUP(A5,$O$53:$T$95,3,FALSE)</f>
        <v>3</v>
      </c>
      <c r="F5" s="376">
        <f>VLOOKUP(A5,$O$6:$T$48,5,FALSE)</f>
        <v>1998</v>
      </c>
      <c r="G5" s="376">
        <f>VLOOKUP(A5,$O$6:$T$48,6,FALSE)</f>
        <v>1494</v>
      </c>
      <c r="H5" s="377">
        <f>G5/F5%</f>
        <v>74.77477477477477</v>
      </c>
      <c r="I5" s="378">
        <f>IF(H5&gt;=40,0,IF(H5&gt;=37,0.0003,IF(H5&gt;=33,0.0006,IF(H5&gt;=30,0.001,0.0013))))</f>
        <v>0</v>
      </c>
      <c r="J5" s="379">
        <f>IF(H5&gt;=40,0,IF(H5&gt;=37,0.01,IF(H5&gt;=33,0.02,IF(H5&gt;=30,0.03,0.04))))</f>
        <v>0</v>
      </c>
      <c r="K5" s="380">
        <f>IF(D5&gt;=100,4,D5*0.04)-I5</f>
        <v>3.8344514787867339</v>
      </c>
      <c r="L5" s="381">
        <f>IF(D5&gt;=100,30,D5*0.3)-J5</f>
        <v>28.758386090900501</v>
      </c>
      <c r="M5" s="382">
        <f>RANK(L5,$L$5:$L$44)</f>
        <v>39</v>
      </c>
      <c r="O5" s="369"/>
      <c r="P5" s="383" t="s">
        <v>218</v>
      </c>
      <c r="Q5" s="383" t="s">
        <v>219</v>
      </c>
      <c r="R5" s="383" t="s">
        <v>220</v>
      </c>
      <c r="S5" s="383" t="s">
        <v>221</v>
      </c>
      <c r="T5" s="371" t="s">
        <v>222</v>
      </c>
    </row>
    <row r="6" spans="1:24">
      <c r="A6" s="349" t="s">
        <v>29</v>
      </c>
      <c r="B6" s="163">
        <v>7626</v>
      </c>
      <c r="C6" s="384">
        <f t="shared" ref="C6:C44" si="0">VLOOKUP(A6,$O$6:$T$48,3,FALSE)</f>
        <v>7349</v>
      </c>
      <c r="D6" s="385">
        <f t="shared" ref="D6:D44" si="1">C6/B6%</f>
        <v>96.367689483346439</v>
      </c>
      <c r="E6" s="386">
        <f t="shared" ref="E6:E44" si="2">VLOOKUP(A6,$O$6:$T$47,3,FALSE)-VLOOKUP(A6,$O$53:$T$95,3,FALSE)</f>
        <v>5</v>
      </c>
      <c r="F6" s="387">
        <f t="shared" ref="F6:F44" si="3">VLOOKUP(A6,$O$6:$T$48,5,FALSE)</f>
        <v>1777</v>
      </c>
      <c r="G6" s="387">
        <f t="shared" ref="G6:G44" si="4">VLOOKUP(A6,$O$6:$T$48,6,FALSE)</f>
        <v>1328</v>
      </c>
      <c r="H6" s="388">
        <f t="shared" ref="H6:H44" si="5">G6/F6%</f>
        <v>74.73269555430501</v>
      </c>
      <c r="I6" s="389">
        <f t="shared" ref="I6:I44" si="6">IF(H6&gt;=40,0,IF(H6&gt;=37,0.0003,IF(H6&gt;=33,0.0006,IF(H6&gt;=30,0.001,0.0013))))</f>
        <v>0</v>
      </c>
      <c r="J6" s="390">
        <f t="shared" ref="J6:J44" si="7">IF(H6&gt;=40,0,IF(H6&gt;=37,0.01,IF(H6&gt;=33,0.02,IF(H6&gt;=30,0.03,0.04))))</f>
        <v>0</v>
      </c>
      <c r="K6" s="391">
        <f t="shared" ref="K6:K44" si="8">IF(D6&gt;=100,4,D6*0.04)-I6</f>
        <v>3.8547075793338577</v>
      </c>
      <c r="L6" s="392">
        <f t="shared" ref="L6:L44" si="9">IF(D6&gt;=100,30,D6*0.3)-J6</f>
        <v>28.91030684500393</v>
      </c>
      <c r="M6" s="393">
        <f t="shared" ref="M6:M44" si="10">RANK(L6,$L$5:$L$44)</f>
        <v>36</v>
      </c>
      <c r="O6" s="180" t="s">
        <v>49</v>
      </c>
      <c r="P6" s="181">
        <v>10356</v>
      </c>
      <c r="Q6" s="181">
        <v>9936</v>
      </c>
      <c r="R6" s="181">
        <v>3660</v>
      </c>
      <c r="S6" s="181">
        <v>2286</v>
      </c>
      <c r="T6" s="181">
        <v>1718</v>
      </c>
      <c r="U6" s="394">
        <v>0.751531058617673</v>
      </c>
    </row>
    <row r="7" spans="1:24">
      <c r="A7" s="349" t="s">
        <v>30</v>
      </c>
      <c r="B7" s="163">
        <v>6068</v>
      </c>
      <c r="C7" s="384">
        <f t="shared" si="0"/>
        <v>5864</v>
      </c>
      <c r="D7" s="385">
        <f t="shared" si="1"/>
        <v>96.6381015161503</v>
      </c>
      <c r="E7" s="386">
        <f t="shared" si="2"/>
        <v>3</v>
      </c>
      <c r="F7" s="387">
        <f t="shared" si="3"/>
        <v>1186</v>
      </c>
      <c r="G7" s="387">
        <f t="shared" si="4"/>
        <v>850</v>
      </c>
      <c r="H7" s="388">
        <f t="shared" si="5"/>
        <v>71.669477234401356</v>
      </c>
      <c r="I7" s="389">
        <f t="shared" si="6"/>
        <v>0</v>
      </c>
      <c r="J7" s="390">
        <f t="shared" si="7"/>
        <v>0</v>
      </c>
      <c r="K7" s="391">
        <f t="shared" si="8"/>
        <v>3.865524060646012</v>
      </c>
      <c r="L7" s="392">
        <f t="shared" si="9"/>
        <v>28.991430454845087</v>
      </c>
      <c r="M7" s="393">
        <f t="shared" si="10"/>
        <v>34</v>
      </c>
      <c r="O7" s="185" t="s">
        <v>28</v>
      </c>
      <c r="P7" s="181">
        <v>10524</v>
      </c>
      <c r="Q7" s="181">
        <v>10145</v>
      </c>
      <c r="R7" s="181">
        <v>3406</v>
      </c>
      <c r="S7" s="181">
        <v>1998</v>
      </c>
      <c r="T7" s="181">
        <v>1494</v>
      </c>
      <c r="U7" s="394">
        <v>0.74774774774774799</v>
      </c>
    </row>
    <row r="8" spans="1:24">
      <c r="A8" s="349" t="s">
        <v>31</v>
      </c>
      <c r="B8" s="163">
        <v>17231</v>
      </c>
      <c r="C8" s="384">
        <f>VLOOKUP(A8,$O$31:$X$31,8,FALSE)</f>
        <v>16819</v>
      </c>
      <c r="D8" s="385">
        <f t="shared" si="1"/>
        <v>97.608960594277761</v>
      </c>
      <c r="E8" s="386">
        <f>VLOOKUP(A8,$O$31:$X$31,8,FALSE)-VLOOKUP(A8,$O$78:$X$78,8,FALSE)</f>
        <v>5</v>
      </c>
      <c r="F8" s="387">
        <f>VLOOKUP(A8,$O$31:$X$31,9,FALSE)</f>
        <v>3504</v>
      </c>
      <c r="G8" s="387">
        <f>VLOOKUP(A8,$O$31:$X$31,10,FALSE)</f>
        <v>2297</v>
      </c>
      <c r="H8" s="388">
        <f t="shared" si="5"/>
        <v>65.553652968036531</v>
      </c>
      <c r="I8" s="389">
        <f t="shared" si="6"/>
        <v>0</v>
      </c>
      <c r="J8" s="390">
        <f t="shared" si="7"/>
        <v>0</v>
      </c>
      <c r="K8" s="391">
        <f t="shared" si="8"/>
        <v>3.9043584237711104</v>
      </c>
      <c r="L8" s="392">
        <f t="shared" si="9"/>
        <v>29.282688178283326</v>
      </c>
      <c r="M8" s="393">
        <f t="shared" si="10"/>
        <v>26</v>
      </c>
      <c r="O8" s="185" t="s">
        <v>32</v>
      </c>
      <c r="P8" s="181">
        <v>11066</v>
      </c>
      <c r="Q8" s="181">
        <v>10632</v>
      </c>
      <c r="R8" s="181">
        <v>3744</v>
      </c>
      <c r="S8" s="181">
        <v>2637</v>
      </c>
      <c r="T8" s="181">
        <v>1895</v>
      </c>
      <c r="U8" s="394">
        <v>0.71861964353431895</v>
      </c>
    </row>
    <row r="9" spans="1:24">
      <c r="A9" s="349" t="s">
        <v>32</v>
      </c>
      <c r="B9" s="163">
        <v>10878</v>
      </c>
      <c r="C9" s="384">
        <f t="shared" si="0"/>
        <v>10632</v>
      </c>
      <c r="D9" s="385">
        <f t="shared" si="1"/>
        <v>97.738554881412028</v>
      </c>
      <c r="E9" s="386">
        <f t="shared" si="2"/>
        <v>3</v>
      </c>
      <c r="F9" s="387">
        <f t="shared" si="3"/>
        <v>2637</v>
      </c>
      <c r="G9" s="387">
        <f t="shared" si="4"/>
        <v>1895</v>
      </c>
      <c r="H9" s="388">
        <f t="shared" si="5"/>
        <v>71.861964353431929</v>
      </c>
      <c r="I9" s="389">
        <f t="shared" si="6"/>
        <v>0</v>
      </c>
      <c r="J9" s="390">
        <f t="shared" si="7"/>
        <v>0</v>
      </c>
      <c r="K9" s="391">
        <f t="shared" si="8"/>
        <v>3.9095421952564813</v>
      </c>
      <c r="L9" s="392">
        <f t="shared" si="9"/>
        <v>29.321566464423608</v>
      </c>
      <c r="M9" s="393">
        <f t="shared" si="10"/>
        <v>25</v>
      </c>
      <c r="O9" s="185" t="s">
        <v>64</v>
      </c>
      <c r="P9" s="181">
        <v>3833</v>
      </c>
      <c r="Q9" s="181">
        <v>3665</v>
      </c>
      <c r="R9" s="181">
        <v>1145</v>
      </c>
      <c r="S9" s="181">
        <v>717</v>
      </c>
      <c r="T9" s="181">
        <v>535</v>
      </c>
      <c r="U9" s="394">
        <v>0.74616457461645702</v>
      </c>
    </row>
    <row r="10" spans="1:24">
      <c r="A10" s="349" t="s">
        <v>33</v>
      </c>
      <c r="B10" s="163">
        <v>9262</v>
      </c>
      <c r="C10" s="384">
        <f t="shared" si="0"/>
        <v>8995</v>
      </c>
      <c r="D10" s="385">
        <f t="shared" si="1"/>
        <v>97.117253293025257</v>
      </c>
      <c r="E10" s="386">
        <f t="shared" si="2"/>
        <v>5</v>
      </c>
      <c r="F10" s="387">
        <f t="shared" si="3"/>
        <v>1752</v>
      </c>
      <c r="G10" s="387">
        <f t="shared" si="4"/>
        <v>1165</v>
      </c>
      <c r="H10" s="388">
        <f t="shared" si="5"/>
        <v>66.495433789954333</v>
      </c>
      <c r="I10" s="389">
        <f t="shared" si="6"/>
        <v>0</v>
      </c>
      <c r="J10" s="390">
        <f t="shared" si="7"/>
        <v>0</v>
      </c>
      <c r="K10" s="391">
        <f t="shared" si="8"/>
        <v>3.8846901317210105</v>
      </c>
      <c r="L10" s="392">
        <f t="shared" si="9"/>
        <v>29.135175987907576</v>
      </c>
      <c r="M10" s="393">
        <f t="shared" si="10"/>
        <v>31</v>
      </c>
      <c r="O10" s="185" t="s">
        <v>61</v>
      </c>
      <c r="P10" s="181">
        <v>4653</v>
      </c>
      <c r="Q10" s="181">
        <v>4476</v>
      </c>
      <c r="R10" s="181">
        <v>1477</v>
      </c>
      <c r="S10" s="181">
        <v>1135</v>
      </c>
      <c r="T10" s="181">
        <v>790</v>
      </c>
      <c r="U10" s="394">
        <v>0.69603524229074898</v>
      </c>
    </row>
    <row r="11" spans="1:24">
      <c r="A11" s="349" t="s">
        <v>34</v>
      </c>
      <c r="B11" s="163">
        <v>10330</v>
      </c>
      <c r="C11" s="384">
        <f t="shared" si="0"/>
        <v>10222</v>
      </c>
      <c r="D11" s="385">
        <f t="shared" si="1"/>
        <v>98.954501452081317</v>
      </c>
      <c r="E11" s="386">
        <f t="shared" si="2"/>
        <v>0</v>
      </c>
      <c r="F11" s="387">
        <f t="shared" si="3"/>
        <v>2264</v>
      </c>
      <c r="G11" s="387">
        <f t="shared" si="4"/>
        <v>1404</v>
      </c>
      <c r="H11" s="388">
        <f t="shared" si="5"/>
        <v>62.014134275618375</v>
      </c>
      <c r="I11" s="389">
        <f t="shared" si="6"/>
        <v>0</v>
      </c>
      <c r="J11" s="390">
        <f t="shared" si="7"/>
        <v>0</v>
      </c>
      <c r="K11" s="391">
        <f t="shared" si="8"/>
        <v>3.9581800580832529</v>
      </c>
      <c r="L11" s="392">
        <f t="shared" si="9"/>
        <v>29.686350435624394</v>
      </c>
      <c r="M11" s="393">
        <f t="shared" si="10"/>
        <v>12</v>
      </c>
      <c r="O11" s="185" t="s">
        <v>57</v>
      </c>
      <c r="P11" s="181">
        <v>2627</v>
      </c>
      <c r="Q11" s="181">
        <v>2538</v>
      </c>
      <c r="R11" s="181">
        <v>770</v>
      </c>
      <c r="S11" s="181">
        <v>565</v>
      </c>
      <c r="T11" s="181">
        <v>362</v>
      </c>
      <c r="U11" s="394">
        <v>0.64070796460177004</v>
      </c>
    </row>
    <row r="12" spans="1:24">
      <c r="A12" s="349" t="s">
        <v>35</v>
      </c>
      <c r="B12" s="163">
        <v>9146</v>
      </c>
      <c r="C12" s="384">
        <f t="shared" si="0"/>
        <v>9010</v>
      </c>
      <c r="D12" s="385">
        <f t="shared" si="1"/>
        <v>98.513011152416368</v>
      </c>
      <c r="E12" s="386">
        <f t="shared" si="2"/>
        <v>8</v>
      </c>
      <c r="F12" s="387">
        <f t="shared" si="3"/>
        <v>2042</v>
      </c>
      <c r="G12" s="387">
        <f t="shared" si="4"/>
        <v>1391</v>
      </c>
      <c r="H12" s="388">
        <f t="shared" si="5"/>
        <v>68.119490695396664</v>
      </c>
      <c r="I12" s="389">
        <f t="shared" si="6"/>
        <v>0</v>
      </c>
      <c r="J12" s="390">
        <f t="shared" si="7"/>
        <v>0</v>
      </c>
      <c r="K12" s="391">
        <f t="shared" si="8"/>
        <v>3.940520446096655</v>
      </c>
      <c r="L12" s="392">
        <f t="shared" si="9"/>
        <v>29.553903345724908</v>
      </c>
      <c r="M12" s="393">
        <f t="shared" si="10"/>
        <v>17</v>
      </c>
      <c r="O12" s="185" t="s">
        <v>52</v>
      </c>
      <c r="P12" s="181">
        <v>6833</v>
      </c>
      <c r="Q12" s="181">
        <v>6549</v>
      </c>
      <c r="R12" s="181">
        <v>2299</v>
      </c>
      <c r="S12" s="181">
        <v>1639</v>
      </c>
      <c r="T12" s="181">
        <v>1198</v>
      </c>
      <c r="U12" s="394">
        <v>0.73093349603416702</v>
      </c>
    </row>
    <row r="13" spans="1:24">
      <c r="A13" s="349" t="s">
        <v>36</v>
      </c>
      <c r="B13" s="163">
        <v>3319</v>
      </c>
      <c r="C13" s="384">
        <f t="shared" si="0"/>
        <v>3226</v>
      </c>
      <c r="D13" s="385">
        <f t="shared" si="1"/>
        <v>97.197951190117507</v>
      </c>
      <c r="E13" s="386">
        <f t="shared" si="2"/>
        <v>2</v>
      </c>
      <c r="F13" s="387">
        <f t="shared" si="3"/>
        <v>958</v>
      </c>
      <c r="G13" s="387">
        <f t="shared" si="4"/>
        <v>664</v>
      </c>
      <c r="H13" s="388">
        <f t="shared" si="5"/>
        <v>69.311064718162839</v>
      </c>
      <c r="I13" s="389">
        <f t="shared" si="6"/>
        <v>0</v>
      </c>
      <c r="J13" s="390">
        <f t="shared" si="7"/>
        <v>0</v>
      </c>
      <c r="K13" s="391">
        <f t="shared" si="8"/>
        <v>3.8879180476047002</v>
      </c>
      <c r="L13" s="392">
        <f t="shared" si="9"/>
        <v>29.159385357035251</v>
      </c>
      <c r="M13" s="393">
        <f t="shared" si="10"/>
        <v>29</v>
      </c>
      <c r="O13" s="185" t="s">
        <v>55</v>
      </c>
      <c r="P13" s="181">
        <v>2672</v>
      </c>
      <c r="Q13" s="181">
        <v>2601</v>
      </c>
      <c r="R13" s="181">
        <v>661</v>
      </c>
      <c r="S13" s="181">
        <v>491</v>
      </c>
      <c r="T13" s="181">
        <v>311</v>
      </c>
      <c r="U13" s="394">
        <v>0.63340122199592697</v>
      </c>
    </row>
    <row r="14" spans="1:24">
      <c r="A14" s="349" t="s">
        <v>37</v>
      </c>
      <c r="B14" s="163">
        <v>6589</v>
      </c>
      <c r="C14" s="384">
        <f t="shared" si="0"/>
        <v>6402</v>
      </c>
      <c r="D14" s="385">
        <f t="shared" si="1"/>
        <v>97.16193656093489</v>
      </c>
      <c r="E14" s="386">
        <f t="shared" si="2"/>
        <v>3</v>
      </c>
      <c r="F14" s="387">
        <f t="shared" si="3"/>
        <v>1407</v>
      </c>
      <c r="G14" s="387">
        <f t="shared" si="4"/>
        <v>1022</v>
      </c>
      <c r="H14" s="388">
        <f t="shared" si="5"/>
        <v>72.636815920398007</v>
      </c>
      <c r="I14" s="389">
        <f t="shared" si="6"/>
        <v>0</v>
      </c>
      <c r="J14" s="390">
        <f t="shared" si="7"/>
        <v>0</v>
      </c>
      <c r="K14" s="391">
        <f t="shared" si="8"/>
        <v>3.8864774624373957</v>
      </c>
      <c r="L14" s="392">
        <f t="shared" si="9"/>
        <v>29.148580968280466</v>
      </c>
      <c r="M14" s="393">
        <f t="shared" si="10"/>
        <v>30</v>
      </c>
      <c r="O14" s="185" t="s">
        <v>56</v>
      </c>
      <c r="P14" s="181">
        <v>3597</v>
      </c>
      <c r="Q14" s="181">
        <v>3460</v>
      </c>
      <c r="R14" s="181">
        <v>1080</v>
      </c>
      <c r="S14" s="181">
        <v>811</v>
      </c>
      <c r="T14" s="181">
        <v>514</v>
      </c>
      <c r="U14" s="394">
        <v>0.63378545006165199</v>
      </c>
    </row>
    <row r="15" spans="1:24">
      <c r="A15" s="349" t="s">
        <v>38</v>
      </c>
      <c r="B15" s="163">
        <v>9960</v>
      </c>
      <c r="C15" s="384">
        <f t="shared" si="0"/>
        <v>9763</v>
      </c>
      <c r="D15" s="385">
        <f t="shared" si="1"/>
        <v>98.022088353413665</v>
      </c>
      <c r="E15" s="386">
        <f t="shared" si="2"/>
        <v>3</v>
      </c>
      <c r="F15" s="387">
        <f t="shared" si="3"/>
        <v>2257</v>
      </c>
      <c r="G15" s="387">
        <f t="shared" si="4"/>
        <v>1541</v>
      </c>
      <c r="H15" s="388">
        <f t="shared" si="5"/>
        <v>68.276473194505982</v>
      </c>
      <c r="I15" s="389">
        <f t="shared" si="6"/>
        <v>0</v>
      </c>
      <c r="J15" s="390">
        <f t="shared" si="7"/>
        <v>0</v>
      </c>
      <c r="K15" s="391">
        <f t="shared" si="8"/>
        <v>3.9208835341365469</v>
      </c>
      <c r="L15" s="392">
        <f t="shared" si="9"/>
        <v>29.406626506024097</v>
      </c>
      <c r="M15" s="393">
        <f t="shared" si="10"/>
        <v>23</v>
      </c>
      <c r="O15" s="185" t="s">
        <v>58</v>
      </c>
      <c r="P15" s="181">
        <v>4121</v>
      </c>
      <c r="Q15" s="181">
        <v>3980</v>
      </c>
      <c r="R15" s="181">
        <v>1310</v>
      </c>
      <c r="S15" s="181">
        <v>882</v>
      </c>
      <c r="T15" s="181">
        <v>583</v>
      </c>
      <c r="U15" s="394">
        <v>0.660997732426304</v>
      </c>
    </row>
    <row r="16" spans="1:24">
      <c r="A16" s="349" t="s">
        <v>39</v>
      </c>
      <c r="B16" s="163">
        <v>10603</v>
      </c>
      <c r="C16" s="384">
        <f t="shared" si="0"/>
        <v>10492</v>
      </c>
      <c r="D16" s="385">
        <f t="shared" si="1"/>
        <v>98.953126473639529</v>
      </c>
      <c r="E16" s="386">
        <f t="shared" si="2"/>
        <v>2</v>
      </c>
      <c r="F16" s="387">
        <f t="shared" si="3"/>
        <v>2313</v>
      </c>
      <c r="G16" s="387">
        <f t="shared" si="4"/>
        <v>1376</v>
      </c>
      <c r="H16" s="388">
        <f t="shared" si="5"/>
        <v>59.489840034587118</v>
      </c>
      <c r="I16" s="389">
        <f t="shared" si="6"/>
        <v>0</v>
      </c>
      <c r="J16" s="390">
        <f t="shared" si="7"/>
        <v>0</v>
      </c>
      <c r="K16" s="391">
        <f t="shared" si="8"/>
        <v>3.9581250589455812</v>
      </c>
      <c r="L16" s="392">
        <f t="shared" si="9"/>
        <v>29.685937942091858</v>
      </c>
      <c r="M16" s="393">
        <f t="shared" si="10"/>
        <v>13</v>
      </c>
      <c r="O16" s="185" t="s">
        <v>60</v>
      </c>
      <c r="P16" s="181">
        <v>3184</v>
      </c>
      <c r="Q16" s="181">
        <v>3074</v>
      </c>
      <c r="R16" s="181">
        <v>913</v>
      </c>
      <c r="S16" s="181">
        <v>746</v>
      </c>
      <c r="T16" s="181">
        <v>436</v>
      </c>
      <c r="U16" s="394">
        <v>0.58445040214477195</v>
      </c>
    </row>
    <row r="17" spans="1:24">
      <c r="A17" s="358" t="s">
        <v>40</v>
      </c>
      <c r="B17" s="163">
        <v>7629</v>
      </c>
      <c r="C17" s="384">
        <f t="shared" si="0"/>
        <v>7392</v>
      </c>
      <c r="D17" s="385">
        <f t="shared" si="1"/>
        <v>96.893432953204865</v>
      </c>
      <c r="E17" s="386">
        <f t="shared" si="2"/>
        <v>4</v>
      </c>
      <c r="F17" s="387">
        <f t="shared" si="3"/>
        <v>1769</v>
      </c>
      <c r="G17" s="387">
        <f t="shared" si="4"/>
        <v>1202</v>
      </c>
      <c r="H17" s="388">
        <f t="shared" si="5"/>
        <v>67.947993216506489</v>
      </c>
      <c r="I17" s="389">
        <f t="shared" si="6"/>
        <v>0</v>
      </c>
      <c r="J17" s="390">
        <f t="shared" si="7"/>
        <v>0</v>
      </c>
      <c r="K17" s="391">
        <f t="shared" si="8"/>
        <v>3.8757373181281949</v>
      </c>
      <c r="L17" s="392">
        <f t="shared" si="9"/>
        <v>29.068029885961458</v>
      </c>
      <c r="M17" s="393">
        <f t="shared" si="10"/>
        <v>33</v>
      </c>
      <c r="O17" s="185" t="s">
        <v>53</v>
      </c>
      <c r="P17" s="181">
        <v>5718</v>
      </c>
      <c r="Q17" s="181">
        <v>5543</v>
      </c>
      <c r="R17" s="181">
        <v>1942</v>
      </c>
      <c r="S17" s="181">
        <v>1433</v>
      </c>
      <c r="T17" s="181">
        <v>947</v>
      </c>
      <c r="U17" s="394">
        <v>0.66085136078157702</v>
      </c>
    </row>
    <row r="18" spans="1:24">
      <c r="A18" s="358" t="s">
        <v>41</v>
      </c>
      <c r="B18" s="163">
        <v>15679</v>
      </c>
      <c r="C18" s="384">
        <f t="shared" si="0"/>
        <v>15720</v>
      </c>
      <c r="D18" s="385">
        <f t="shared" si="1"/>
        <v>100.2614962688947</v>
      </c>
      <c r="E18" s="386">
        <f t="shared" si="2"/>
        <v>9</v>
      </c>
      <c r="F18" s="387">
        <f t="shared" si="3"/>
        <v>3586</v>
      </c>
      <c r="G18" s="387">
        <f t="shared" si="4"/>
        <v>2597</v>
      </c>
      <c r="H18" s="388">
        <f t="shared" si="5"/>
        <v>72.420524261015061</v>
      </c>
      <c r="I18" s="389">
        <f t="shared" si="6"/>
        <v>0</v>
      </c>
      <c r="J18" s="390">
        <f t="shared" si="7"/>
        <v>0</v>
      </c>
      <c r="K18" s="391">
        <f t="shared" si="8"/>
        <v>4</v>
      </c>
      <c r="L18" s="392">
        <f t="shared" si="9"/>
        <v>30</v>
      </c>
      <c r="M18" s="393">
        <f t="shared" si="10"/>
        <v>1</v>
      </c>
      <c r="O18" s="185" t="s">
        <v>54</v>
      </c>
      <c r="P18" s="181">
        <v>4499</v>
      </c>
      <c r="Q18" s="181">
        <v>4348</v>
      </c>
      <c r="R18" s="181">
        <v>1368</v>
      </c>
      <c r="S18" s="181">
        <v>938</v>
      </c>
      <c r="T18" s="181">
        <v>593</v>
      </c>
      <c r="U18" s="394">
        <v>0.63219616204690798</v>
      </c>
    </row>
    <row r="19" spans="1:24">
      <c r="A19" s="349" t="s">
        <v>42</v>
      </c>
      <c r="B19" s="163">
        <v>14498</v>
      </c>
      <c r="C19" s="384">
        <f t="shared" si="0"/>
        <v>13966</v>
      </c>
      <c r="D19" s="385">
        <f t="shared" si="1"/>
        <v>96.330528348737758</v>
      </c>
      <c r="E19" s="386">
        <f t="shared" si="2"/>
        <v>14</v>
      </c>
      <c r="F19" s="387">
        <f t="shared" si="3"/>
        <v>2801</v>
      </c>
      <c r="G19" s="387">
        <f t="shared" si="4"/>
        <v>2011</v>
      </c>
      <c r="H19" s="388">
        <f t="shared" si="5"/>
        <v>71.795787218850407</v>
      </c>
      <c r="I19" s="389">
        <f t="shared" si="6"/>
        <v>0</v>
      </c>
      <c r="J19" s="390">
        <f t="shared" si="7"/>
        <v>0</v>
      </c>
      <c r="K19" s="391">
        <f t="shared" si="8"/>
        <v>3.8532211339495106</v>
      </c>
      <c r="L19" s="392">
        <f t="shared" si="9"/>
        <v>28.899158504621326</v>
      </c>
      <c r="M19" s="393">
        <f t="shared" si="10"/>
        <v>38</v>
      </c>
      <c r="O19" s="185" t="s">
        <v>59</v>
      </c>
      <c r="P19" s="181">
        <v>3940</v>
      </c>
      <c r="Q19" s="181">
        <v>3806</v>
      </c>
      <c r="R19" s="181">
        <v>1122</v>
      </c>
      <c r="S19" s="181">
        <v>758</v>
      </c>
      <c r="T19" s="181">
        <v>507</v>
      </c>
      <c r="U19" s="394">
        <v>0.66886543535620102</v>
      </c>
    </row>
    <row r="20" spans="1:24">
      <c r="A20" s="349" t="s">
        <v>43</v>
      </c>
      <c r="B20" s="163">
        <v>8647</v>
      </c>
      <c r="C20" s="384">
        <f t="shared" si="0"/>
        <v>8421</v>
      </c>
      <c r="D20" s="385">
        <f t="shared" si="1"/>
        <v>97.386376778073327</v>
      </c>
      <c r="E20" s="386">
        <f t="shared" si="2"/>
        <v>15</v>
      </c>
      <c r="F20" s="387">
        <f t="shared" si="3"/>
        <v>1666</v>
      </c>
      <c r="G20" s="387">
        <f t="shared" si="4"/>
        <v>1303</v>
      </c>
      <c r="H20" s="388">
        <f t="shared" si="5"/>
        <v>78.211284513805523</v>
      </c>
      <c r="I20" s="389">
        <f t="shared" si="6"/>
        <v>0</v>
      </c>
      <c r="J20" s="390">
        <f t="shared" si="7"/>
        <v>0</v>
      </c>
      <c r="K20" s="391">
        <f t="shared" si="8"/>
        <v>3.895455071122933</v>
      </c>
      <c r="L20" s="392">
        <f t="shared" si="9"/>
        <v>29.215913033421998</v>
      </c>
      <c r="M20" s="393">
        <f t="shared" si="10"/>
        <v>27</v>
      </c>
      <c r="O20" s="185" t="s">
        <v>33</v>
      </c>
      <c r="P20" s="181">
        <v>9323</v>
      </c>
      <c r="Q20" s="181">
        <v>8995</v>
      </c>
      <c r="R20" s="181">
        <v>2815</v>
      </c>
      <c r="S20" s="181">
        <v>1752</v>
      </c>
      <c r="T20" s="181">
        <v>1165</v>
      </c>
      <c r="U20" s="394">
        <v>0.66495433789954295</v>
      </c>
    </row>
    <row r="21" spans="1:24">
      <c r="A21" s="349" t="s">
        <v>44</v>
      </c>
      <c r="B21" s="163">
        <v>6985</v>
      </c>
      <c r="C21" s="384">
        <f t="shared" si="0"/>
        <v>6859</v>
      </c>
      <c r="D21" s="385">
        <f t="shared" si="1"/>
        <v>98.196134574087338</v>
      </c>
      <c r="E21" s="386">
        <f t="shared" si="2"/>
        <v>1</v>
      </c>
      <c r="F21" s="387">
        <f t="shared" si="3"/>
        <v>1537</v>
      </c>
      <c r="G21" s="387">
        <f t="shared" si="4"/>
        <v>1012</v>
      </c>
      <c r="H21" s="388">
        <f t="shared" si="5"/>
        <v>65.842550422901766</v>
      </c>
      <c r="I21" s="389">
        <f t="shared" si="6"/>
        <v>0</v>
      </c>
      <c r="J21" s="390">
        <f t="shared" si="7"/>
        <v>0</v>
      </c>
      <c r="K21" s="391">
        <f t="shared" si="8"/>
        <v>3.9278453829634938</v>
      </c>
      <c r="L21" s="392">
        <f t="shared" si="9"/>
        <v>29.458840372226199</v>
      </c>
      <c r="M21" s="393">
        <f t="shared" si="10"/>
        <v>20</v>
      </c>
      <c r="O21" s="185" t="s">
        <v>50</v>
      </c>
      <c r="P21" s="181">
        <v>9103</v>
      </c>
      <c r="Q21" s="181">
        <v>8745</v>
      </c>
      <c r="R21" s="181">
        <v>2307</v>
      </c>
      <c r="S21" s="181">
        <v>1781</v>
      </c>
      <c r="T21" s="181">
        <v>1211</v>
      </c>
      <c r="U21" s="394">
        <v>0.67995508141493499</v>
      </c>
    </row>
    <row r="22" spans="1:24">
      <c r="A22" s="349" t="s">
        <v>45</v>
      </c>
      <c r="B22" s="163">
        <v>8275</v>
      </c>
      <c r="C22" s="384">
        <f t="shared" si="0"/>
        <v>8110</v>
      </c>
      <c r="D22" s="385">
        <f t="shared" si="1"/>
        <v>98.006042296072508</v>
      </c>
      <c r="E22" s="386">
        <f t="shared" si="2"/>
        <v>6</v>
      </c>
      <c r="F22" s="387">
        <f t="shared" si="3"/>
        <v>1574</v>
      </c>
      <c r="G22" s="387">
        <f t="shared" si="4"/>
        <v>1237</v>
      </c>
      <c r="H22" s="388">
        <f t="shared" si="5"/>
        <v>78.58958068614993</v>
      </c>
      <c r="I22" s="389">
        <f t="shared" si="6"/>
        <v>0</v>
      </c>
      <c r="J22" s="390">
        <f t="shared" si="7"/>
        <v>0</v>
      </c>
      <c r="K22" s="391">
        <f t="shared" si="8"/>
        <v>3.9202416918429006</v>
      </c>
      <c r="L22" s="392">
        <f t="shared" si="9"/>
        <v>29.401812688821749</v>
      </c>
      <c r="M22" s="393">
        <f t="shared" si="10"/>
        <v>24</v>
      </c>
      <c r="O22" s="185" t="s">
        <v>62</v>
      </c>
      <c r="P22" s="181">
        <v>3184</v>
      </c>
      <c r="Q22" s="181">
        <v>3042</v>
      </c>
      <c r="R22" s="181">
        <v>975</v>
      </c>
      <c r="S22" s="181">
        <v>543</v>
      </c>
      <c r="T22" s="181">
        <v>412</v>
      </c>
      <c r="U22" s="394">
        <v>0.75874769797421704</v>
      </c>
    </row>
    <row r="23" spans="1:24">
      <c r="A23" s="349" t="s">
        <v>46</v>
      </c>
      <c r="B23" s="163">
        <v>6595</v>
      </c>
      <c r="C23" s="384">
        <f t="shared" si="0"/>
        <v>6570</v>
      </c>
      <c r="D23" s="385">
        <f t="shared" si="1"/>
        <v>99.620924943138732</v>
      </c>
      <c r="E23" s="386">
        <f t="shared" si="2"/>
        <v>3</v>
      </c>
      <c r="F23" s="387">
        <f t="shared" si="3"/>
        <v>1517</v>
      </c>
      <c r="G23" s="387">
        <f t="shared" si="4"/>
        <v>1050</v>
      </c>
      <c r="H23" s="388">
        <f t="shared" si="5"/>
        <v>69.215557020435071</v>
      </c>
      <c r="I23" s="389">
        <f t="shared" si="6"/>
        <v>0</v>
      </c>
      <c r="J23" s="390">
        <f t="shared" si="7"/>
        <v>0</v>
      </c>
      <c r="K23" s="391">
        <f t="shared" si="8"/>
        <v>3.9848369977255493</v>
      </c>
      <c r="L23" s="392">
        <f t="shared" si="9"/>
        <v>29.886277482941619</v>
      </c>
      <c r="M23" s="393">
        <f t="shared" si="10"/>
        <v>7</v>
      </c>
      <c r="O23" s="185" t="s">
        <v>34</v>
      </c>
      <c r="P23" s="181">
        <v>10679</v>
      </c>
      <c r="Q23" s="181">
        <v>10222</v>
      </c>
      <c r="R23" s="181">
        <v>2845</v>
      </c>
      <c r="S23" s="181">
        <v>2264</v>
      </c>
      <c r="T23" s="181">
        <v>1404</v>
      </c>
      <c r="U23" s="394">
        <v>0.62014134275618404</v>
      </c>
    </row>
    <row r="24" spans="1:24">
      <c r="A24" s="349" t="s">
        <v>47</v>
      </c>
      <c r="B24" s="163">
        <v>7267</v>
      </c>
      <c r="C24" s="384">
        <f t="shared" si="0"/>
        <v>7164</v>
      </c>
      <c r="D24" s="385">
        <f t="shared" si="1"/>
        <v>98.582633824136508</v>
      </c>
      <c r="E24" s="386">
        <f t="shared" si="2"/>
        <v>3</v>
      </c>
      <c r="F24" s="387">
        <f t="shared" si="3"/>
        <v>1631</v>
      </c>
      <c r="G24" s="387">
        <f t="shared" si="4"/>
        <v>1061</v>
      </c>
      <c r="H24" s="388">
        <f t="shared" si="5"/>
        <v>65.052115266707546</v>
      </c>
      <c r="I24" s="389">
        <f t="shared" si="6"/>
        <v>0</v>
      </c>
      <c r="J24" s="390">
        <f t="shared" si="7"/>
        <v>0</v>
      </c>
      <c r="K24" s="391">
        <f t="shared" si="8"/>
        <v>3.9433053529654605</v>
      </c>
      <c r="L24" s="392">
        <f t="shared" si="9"/>
        <v>29.57479014724095</v>
      </c>
      <c r="M24" s="393">
        <f t="shared" si="10"/>
        <v>16</v>
      </c>
      <c r="O24" s="185" t="s">
        <v>66</v>
      </c>
      <c r="P24" s="181">
        <v>2760</v>
      </c>
      <c r="Q24" s="181">
        <v>2652</v>
      </c>
      <c r="R24" s="181">
        <v>866</v>
      </c>
      <c r="S24" s="181">
        <v>534</v>
      </c>
      <c r="T24" s="181">
        <v>363</v>
      </c>
      <c r="U24" s="394">
        <v>0.67977528089887596</v>
      </c>
    </row>
    <row r="25" spans="1:24">
      <c r="A25" s="349" t="s">
        <v>50</v>
      </c>
      <c r="B25" s="163">
        <v>8763</v>
      </c>
      <c r="C25" s="384">
        <f t="shared" si="0"/>
        <v>8745</v>
      </c>
      <c r="D25" s="385">
        <f t="shared" si="1"/>
        <v>99.794590893529616</v>
      </c>
      <c r="E25" s="386">
        <f t="shared" si="2"/>
        <v>4</v>
      </c>
      <c r="F25" s="387">
        <f t="shared" si="3"/>
        <v>1781</v>
      </c>
      <c r="G25" s="387">
        <f t="shared" si="4"/>
        <v>1211</v>
      </c>
      <c r="H25" s="388">
        <f t="shared" si="5"/>
        <v>67.995508141493545</v>
      </c>
      <c r="I25" s="389">
        <f t="shared" si="6"/>
        <v>0</v>
      </c>
      <c r="J25" s="390">
        <f t="shared" si="7"/>
        <v>0</v>
      </c>
      <c r="K25" s="391">
        <f t="shared" si="8"/>
        <v>3.9917836357411849</v>
      </c>
      <c r="L25" s="392">
        <f t="shared" si="9"/>
        <v>29.938377268058883</v>
      </c>
      <c r="M25" s="393">
        <f t="shared" si="10"/>
        <v>6</v>
      </c>
      <c r="O25" s="185" t="s">
        <v>63</v>
      </c>
      <c r="P25" s="181">
        <v>1872</v>
      </c>
      <c r="Q25" s="181">
        <v>1804</v>
      </c>
      <c r="R25" s="181">
        <v>626</v>
      </c>
      <c r="S25" s="181">
        <v>432</v>
      </c>
      <c r="T25" s="181">
        <v>310</v>
      </c>
      <c r="U25" s="394">
        <v>0.717592592592593</v>
      </c>
    </row>
    <row r="26" spans="1:24">
      <c r="A26" s="349" t="s">
        <v>48</v>
      </c>
      <c r="B26" s="163">
        <v>6419</v>
      </c>
      <c r="C26" s="384">
        <f t="shared" si="0"/>
        <v>6533</v>
      </c>
      <c r="D26" s="385">
        <f t="shared" si="1"/>
        <v>101.77597756659917</v>
      </c>
      <c r="E26" s="386">
        <f t="shared" si="2"/>
        <v>5</v>
      </c>
      <c r="F26" s="387">
        <f t="shared" si="3"/>
        <v>1498</v>
      </c>
      <c r="G26" s="387">
        <f t="shared" si="4"/>
        <v>1077</v>
      </c>
      <c r="H26" s="388">
        <f t="shared" si="5"/>
        <v>71.895861148197596</v>
      </c>
      <c r="I26" s="389">
        <f t="shared" si="6"/>
        <v>0</v>
      </c>
      <c r="J26" s="390">
        <f t="shared" si="7"/>
        <v>0</v>
      </c>
      <c r="K26" s="391">
        <f t="shared" si="8"/>
        <v>4</v>
      </c>
      <c r="L26" s="392">
        <f t="shared" si="9"/>
        <v>30</v>
      </c>
      <c r="M26" s="393">
        <f t="shared" si="10"/>
        <v>1</v>
      </c>
      <c r="O26" s="185" t="s">
        <v>65</v>
      </c>
      <c r="P26" s="181">
        <v>1053</v>
      </c>
      <c r="Q26" s="181">
        <v>1025</v>
      </c>
      <c r="R26" s="181">
        <v>459</v>
      </c>
      <c r="S26" s="181">
        <v>245</v>
      </c>
      <c r="T26" s="181">
        <v>155</v>
      </c>
      <c r="U26" s="394">
        <v>0.63265306122449005</v>
      </c>
    </row>
    <row r="27" spans="1:24">
      <c r="A27" s="358" t="s">
        <v>49</v>
      </c>
      <c r="B27" s="163">
        <v>10119</v>
      </c>
      <c r="C27" s="384">
        <f t="shared" si="0"/>
        <v>9936</v>
      </c>
      <c r="D27" s="385">
        <f t="shared" si="1"/>
        <v>98.191520901274828</v>
      </c>
      <c r="E27" s="386">
        <f t="shared" si="2"/>
        <v>20</v>
      </c>
      <c r="F27" s="387">
        <f t="shared" si="3"/>
        <v>2286</v>
      </c>
      <c r="G27" s="387">
        <f t="shared" si="4"/>
        <v>1718</v>
      </c>
      <c r="H27" s="388">
        <f t="shared" si="5"/>
        <v>75.153105861767287</v>
      </c>
      <c r="I27" s="389">
        <f t="shared" si="6"/>
        <v>0</v>
      </c>
      <c r="J27" s="390">
        <f t="shared" si="7"/>
        <v>0</v>
      </c>
      <c r="K27" s="391">
        <f t="shared" si="8"/>
        <v>3.9276608360509933</v>
      </c>
      <c r="L27" s="392">
        <f t="shared" si="9"/>
        <v>29.457456270382448</v>
      </c>
      <c r="M27" s="393">
        <f t="shared" si="10"/>
        <v>21</v>
      </c>
      <c r="O27" s="185" t="s">
        <v>45</v>
      </c>
      <c r="P27" s="181">
        <v>8460</v>
      </c>
      <c r="Q27" s="181">
        <v>8110</v>
      </c>
      <c r="R27" s="181">
        <v>2969</v>
      </c>
      <c r="S27" s="181">
        <v>1574</v>
      </c>
      <c r="T27" s="181">
        <v>1237</v>
      </c>
      <c r="U27" s="394">
        <v>0.78589580686149896</v>
      </c>
    </row>
    <row r="28" spans="1:24">
      <c r="A28" s="349" t="s">
        <v>51</v>
      </c>
      <c r="B28" s="163">
        <v>8313</v>
      </c>
      <c r="C28" s="384">
        <f t="shared" si="0"/>
        <v>8169</v>
      </c>
      <c r="D28" s="385">
        <f t="shared" si="1"/>
        <v>98.267773367015522</v>
      </c>
      <c r="E28" s="386">
        <f t="shared" si="2"/>
        <v>6</v>
      </c>
      <c r="F28" s="387">
        <f t="shared" si="3"/>
        <v>1939</v>
      </c>
      <c r="G28" s="387">
        <f t="shared" si="4"/>
        <v>1388</v>
      </c>
      <c r="H28" s="388">
        <f t="shared" si="5"/>
        <v>71.583290355853535</v>
      </c>
      <c r="I28" s="389">
        <f t="shared" si="6"/>
        <v>0</v>
      </c>
      <c r="J28" s="390">
        <f t="shared" si="7"/>
        <v>0</v>
      </c>
      <c r="K28" s="391">
        <f t="shared" si="8"/>
        <v>3.9307109346806208</v>
      </c>
      <c r="L28" s="392">
        <f t="shared" si="9"/>
        <v>29.480332010104654</v>
      </c>
      <c r="M28" s="393">
        <f t="shared" si="10"/>
        <v>19</v>
      </c>
      <c r="O28" s="185" t="s">
        <v>67</v>
      </c>
      <c r="P28" s="181">
        <v>4674</v>
      </c>
      <c r="Q28" s="181">
        <v>4460</v>
      </c>
      <c r="R28" s="181">
        <v>1397</v>
      </c>
      <c r="S28" s="181">
        <v>1092</v>
      </c>
      <c r="T28" s="181">
        <v>758</v>
      </c>
      <c r="U28" s="394">
        <v>0.694139194139194</v>
      </c>
    </row>
    <row r="29" spans="1:24">
      <c r="A29" s="349" t="s">
        <v>52</v>
      </c>
      <c r="B29" s="163">
        <v>6592</v>
      </c>
      <c r="C29" s="384">
        <f t="shared" si="0"/>
        <v>6549</v>
      </c>
      <c r="D29" s="385">
        <f t="shared" si="1"/>
        <v>99.347694174757279</v>
      </c>
      <c r="E29" s="386">
        <f t="shared" si="2"/>
        <v>5</v>
      </c>
      <c r="F29" s="387">
        <f t="shared" si="3"/>
        <v>1639</v>
      </c>
      <c r="G29" s="387">
        <f t="shared" si="4"/>
        <v>1198</v>
      </c>
      <c r="H29" s="388">
        <f t="shared" si="5"/>
        <v>73.093349603416712</v>
      </c>
      <c r="I29" s="389">
        <f t="shared" si="6"/>
        <v>0</v>
      </c>
      <c r="J29" s="390">
        <f t="shared" si="7"/>
        <v>0</v>
      </c>
      <c r="K29" s="391">
        <f t="shared" si="8"/>
        <v>3.9739077669902914</v>
      </c>
      <c r="L29" s="392">
        <f t="shared" si="9"/>
        <v>29.804308252427184</v>
      </c>
      <c r="M29" s="393">
        <f t="shared" si="10"/>
        <v>10</v>
      </c>
      <c r="O29" s="185" t="s">
        <v>39</v>
      </c>
      <c r="P29" s="181">
        <v>10979</v>
      </c>
      <c r="Q29" s="181">
        <v>10492</v>
      </c>
      <c r="R29" s="181">
        <v>3167</v>
      </c>
      <c r="S29" s="181">
        <v>2313</v>
      </c>
      <c r="T29" s="181">
        <v>1376</v>
      </c>
      <c r="U29" s="394">
        <v>0.59489840034587105</v>
      </c>
    </row>
    <row r="30" spans="1:24">
      <c r="A30" s="349" t="s">
        <v>53</v>
      </c>
      <c r="B30" s="163">
        <v>5494</v>
      </c>
      <c r="C30" s="384">
        <f t="shared" si="0"/>
        <v>5543</v>
      </c>
      <c r="D30" s="385">
        <f t="shared" si="1"/>
        <v>100.89188205314889</v>
      </c>
      <c r="E30" s="386">
        <f t="shared" si="2"/>
        <v>2</v>
      </c>
      <c r="F30" s="387">
        <f t="shared" si="3"/>
        <v>1433</v>
      </c>
      <c r="G30" s="387">
        <f t="shared" si="4"/>
        <v>947</v>
      </c>
      <c r="H30" s="388">
        <f t="shared" si="5"/>
        <v>66.085136078157717</v>
      </c>
      <c r="I30" s="389">
        <f t="shared" si="6"/>
        <v>0</v>
      </c>
      <c r="J30" s="390">
        <f t="shared" si="7"/>
        <v>0</v>
      </c>
      <c r="K30" s="391">
        <f t="shared" si="8"/>
        <v>4</v>
      </c>
      <c r="L30" s="392">
        <f t="shared" si="9"/>
        <v>30</v>
      </c>
      <c r="M30" s="393">
        <f t="shared" si="10"/>
        <v>1</v>
      </c>
      <c r="O30" s="185" t="s">
        <v>46</v>
      </c>
      <c r="P30" s="181">
        <v>6888</v>
      </c>
      <c r="Q30" s="181">
        <v>6570</v>
      </c>
      <c r="R30" s="181">
        <v>1904</v>
      </c>
      <c r="S30" s="181">
        <v>1517</v>
      </c>
      <c r="T30" s="181">
        <v>1050</v>
      </c>
      <c r="U30" s="394">
        <v>0.69215557020435103</v>
      </c>
      <c r="V30" s="1" t="s">
        <v>223</v>
      </c>
      <c r="W30" s="1" t="s">
        <v>209</v>
      </c>
      <c r="X30" s="1" t="s">
        <v>213</v>
      </c>
    </row>
    <row r="31" spans="1:24">
      <c r="A31" s="349" t="s">
        <v>59</v>
      </c>
      <c r="B31" s="163">
        <v>3779</v>
      </c>
      <c r="C31" s="384">
        <f t="shared" si="0"/>
        <v>3806</v>
      </c>
      <c r="D31" s="385">
        <f t="shared" si="1"/>
        <v>100.71447472876423</v>
      </c>
      <c r="E31" s="386">
        <f t="shared" si="2"/>
        <v>0</v>
      </c>
      <c r="F31" s="387">
        <f t="shared" si="3"/>
        <v>758</v>
      </c>
      <c r="G31" s="387">
        <f t="shared" si="4"/>
        <v>507</v>
      </c>
      <c r="H31" s="388">
        <f t="shared" si="5"/>
        <v>66.886543535620049</v>
      </c>
      <c r="I31" s="389">
        <f t="shared" si="6"/>
        <v>0</v>
      </c>
      <c r="J31" s="390">
        <f t="shared" si="7"/>
        <v>0</v>
      </c>
      <c r="K31" s="391">
        <f t="shared" si="8"/>
        <v>4</v>
      </c>
      <c r="L31" s="392">
        <f t="shared" si="9"/>
        <v>30</v>
      </c>
      <c r="M31" s="393">
        <f t="shared" si="10"/>
        <v>1</v>
      </c>
      <c r="O31" s="230" t="s">
        <v>31</v>
      </c>
      <c r="P31" s="231">
        <v>10840</v>
      </c>
      <c r="Q31" s="231">
        <v>10424</v>
      </c>
      <c r="R31" s="231">
        <v>2738</v>
      </c>
      <c r="S31" s="231">
        <v>1831</v>
      </c>
      <c r="T31" s="231">
        <v>1178</v>
      </c>
      <c r="U31" s="395">
        <v>0.64336428181321703</v>
      </c>
      <c r="V31" s="235">
        <f>Q31+Q35</f>
        <v>16819</v>
      </c>
      <c r="W31" s="235">
        <f>S31+S35</f>
        <v>3504</v>
      </c>
      <c r="X31" s="235">
        <f>T31+T35</f>
        <v>2297</v>
      </c>
    </row>
    <row r="32" spans="1:24">
      <c r="A32" s="349" t="s">
        <v>61</v>
      </c>
      <c r="B32" s="163">
        <v>4429</v>
      </c>
      <c r="C32" s="384">
        <f t="shared" si="0"/>
        <v>4476</v>
      </c>
      <c r="D32" s="385">
        <f t="shared" si="1"/>
        <v>101.06118762700385</v>
      </c>
      <c r="E32" s="386">
        <f t="shared" si="2"/>
        <v>0</v>
      </c>
      <c r="F32" s="387">
        <f t="shared" si="3"/>
        <v>1135</v>
      </c>
      <c r="G32" s="387">
        <f t="shared" si="4"/>
        <v>790</v>
      </c>
      <c r="H32" s="388">
        <f t="shared" si="5"/>
        <v>69.603524229074893</v>
      </c>
      <c r="I32" s="389">
        <f t="shared" si="6"/>
        <v>0</v>
      </c>
      <c r="J32" s="390">
        <f t="shared" si="7"/>
        <v>0</v>
      </c>
      <c r="K32" s="391">
        <f t="shared" si="8"/>
        <v>4</v>
      </c>
      <c r="L32" s="392">
        <f t="shared" si="9"/>
        <v>30</v>
      </c>
      <c r="M32" s="393">
        <f t="shared" si="10"/>
        <v>1</v>
      </c>
      <c r="O32" s="185" t="s">
        <v>42</v>
      </c>
      <c r="P32" s="181">
        <v>14559</v>
      </c>
      <c r="Q32" s="181">
        <v>13966</v>
      </c>
      <c r="R32" s="181">
        <v>4503</v>
      </c>
      <c r="S32" s="181">
        <v>2801</v>
      </c>
      <c r="T32" s="181">
        <v>2011</v>
      </c>
      <c r="U32" s="394">
        <v>0.71795787218850404</v>
      </c>
    </row>
    <row r="33" spans="1:21">
      <c r="A33" s="349" t="s">
        <v>54</v>
      </c>
      <c r="B33" s="163">
        <v>4406</v>
      </c>
      <c r="C33" s="384">
        <f t="shared" si="0"/>
        <v>4348</v>
      </c>
      <c r="D33" s="385">
        <f t="shared" si="1"/>
        <v>98.683613254652741</v>
      </c>
      <c r="E33" s="386">
        <f t="shared" si="2"/>
        <v>3</v>
      </c>
      <c r="F33" s="387">
        <f t="shared" si="3"/>
        <v>938</v>
      </c>
      <c r="G33" s="387">
        <f t="shared" si="4"/>
        <v>593</v>
      </c>
      <c r="H33" s="388">
        <f t="shared" si="5"/>
        <v>63.219616204690823</v>
      </c>
      <c r="I33" s="389">
        <f t="shared" si="6"/>
        <v>0</v>
      </c>
      <c r="J33" s="390">
        <f t="shared" si="7"/>
        <v>0</v>
      </c>
      <c r="K33" s="391">
        <f t="shared" si="8"/>
        <v>3.9473445301861099</v>
      </c>
      <c r="L33" s="392">
        <f t="shared" si="9"/>
        <v>29.605083976395822</v>
      </c>
      <c r="M33" s="393">
        <f t="shared" si="10"/>
        <v>15</v>
      </c>
      <c r="O33" s="185" t="s">
        <v>36</v>
      </c>
      <c r="P33" s="181">
        <v>3398</v>
      </c>
      <c r="Q33" s="181">
        <v>3226</v>
      </c>
      <c r="R33" s="181">
        <v>1257</v>
      </c>
      <c r="S33" s="181">
        <v>958</v>
      </c>
      <c r="T33" s="181">
        <v>664</v>
      </c>
      <c r="U33" s="394">
        <v>0.69311064718162796</v>
      </c>
    </row>
    <row r="34" spans="1:21">
      <c r="A34" s="349" t="s">
        <v>55</v>
      </c>
      <c r="B34" s="163">
        <v>2673</v>
      </c>
      <c r="C34" s="384">
        <f t="shared" si="0"/>
        <v>2601</v>
      </c>
      <c r="D34" s="385">
        <f t="shared" si="1"/>
        <v>97.306397306397301</v>
      </c>
      <c r="E34" s="386">
        <f t="shared" si="2"/>
        <v>0</v>
      </c>
      <c r="F34" s="387">
        <f t="shared" si="3"/>
        <v>491</v>
      </c>
      <c r="G34" s="387">
        <f t="shared" si="4"/>
        <v>311</v>
      </c>
      <c r="H34" s="388">
        <f t="shared" si="5"/>
        <v>63.340122199592663</v>
      </c>
      <c r="I34" s="389">
        <f t="shared" si="6"/>
        <v>0</v>
      </c>
      <c r="J34" s="390">
        <f t="shared" si="7"/>
        <v>0</v>
      </c>
      <c r="K34" s="391">
        <f t="shared" si="8"/>
        <v>3.8922558922558923</v>
      </c>
      <c r="L34" s="392">
        <f t="shared" si="9"/>
        <v>29.19191919191919</v>
      </c>
      <c r="M34" s="393">
        <f t="shared" si="10"/>
        <v>28</v>
      </c>
      <c r="O34" s="185" t="s">
        <v>35</v>
      </c>
      <c r="P34" s="181">
        <v>9371</v>
      </c>
      <c r="Q34" s="181">
        <v>9010</v>
      </c>
      <c r="R34" s="181">
        <v>2827</v>
      </c>
      <c r="S34" s="181">
        <v>2042</v>
      </c>
      <c r="T34" s="181">
        <v>1391</v>
      </c>
      <c r="U34" s="394">
        <v>0.68119490695396701</v>
      </c>
    </row>
    <row r="35" spans="1:21">
      <c r="A35" s="349" t="s">
        <v>57</v>
      </c>
      <c r="B35" s="163">
        <v>2657</v>
      </c>
      <c r="C35" s="384">
        <f t="shared" si="0"/>
        <v>2538</v>
      </c>
      <c r="D35" s="385">
        <f t="shared" si="1"/>
        <v>95.521264584117418</v>
      </c>
      <c r="E35" s="386">
        <f t="shared" si="2"/>
        <v>3</v>
      </c>
      <c r="F35" s="387">
        <f t="shared" si="3"/>
        <v>565</v>
      </c>
      <c r="G35" s="387">
        <f t="shared" si="4"/>
        <v>362</v>
      </c>
      <c r="H35" s="388">
        <f t="shared" si="5"/>
        <v>64.070796460176993</v>
      </c>
      <c r="I35" s="389">
        <f t="shared" si="6"/>
        <v>0</v>
      </c>
      <c r="J35" s="390">
        <f t="shared" si="7"/>
        <v>0</v>
      </c>
      <c r="K35" s="391">
        <f t="shared" si="8"/>
        <v>3.8208505833646966</v>
      </c>
      <c r="L35" s="392">
        <f t="shared" si="9"/>
        <v>28.656379375235225</v>
      </c>
      <c r="M35" s="393">
        <f t="shared" si="10"/>
        <v>40</v>
      </c>
      <c r="O35" s="230" t="s">
        <v>174</v>
      </c>
      <c r="P35" s="231">
        <v>6681</v>
      </c>
      <c r="Q35" s="231">
        <v>6395</v>
      </c>
      <c r="R35" s="231">
        <v>2349</v>
      </c>
      <c r="S35" s="231">
        <v>1673</v>
      </c>
      <c r="T35" s="231">
        <v>1119</v>
      </c>
      <c r="U35" s="395">
        <v>0.668858338314405</v>
      </c>
    </row>
    <row r="36" spans="1:21">
      <c r="A36" s="349" t="s">
        <v>56</v>
      </c>
      <c r="B36" s="163">
        <v>3526</v>
      </c>
      <c r="C36" s="384">
        <f t="shared" si="0"/>
        <v>3460</v>
      </c>
      <c r="D36" s="385">
        <f t="shared" si="1"/>
        <v>98.128190584231433</v>
      </c>
      <c r="E36" s="386">
        <f t="shared" si="2"/>
        <v>1</v>
      </c>
      <c r="F36" s="387">
        <f t="shared" si="3"/>
        <v>811</v>
      </c>
      <c r="G36" s="387">
        <f t="shared" si="4"/>
        <v>514</v>
      </c>
      <c r="H36" s="388">
        <f t="shared" si="5"/>
        <v>63.378545006165233</v>
      </c>
      <c r="I36" s="389">
        <f t="shared" si="6"/>
        <v>0</v>
      </c>
      <c r="J36" s="390">
        <f t="shared" si="7"/>
        <v>0</v>
      </c>
      <c r="K36" s="391">
        <f t="shared" si="8"/>
        <v>3.9251276233692574</v>
      </c>
      <c r="L36" s="392">
        <f t="shared" si="9"/>
        <v>29.438457175269427</v>
      </c>
      <c r="M36" s="393">
        <f t="shared" si="10"/>
        <v>22</v>
      </c>
      <c r="O36" s="185" t="s">
        <v>37</v>
      </c>
      <c r="P36" s="181">
        <v>6665</v>
      </c>
      <c r="Q36" s="181">
        <v>6402</v>
      </c>
      <c r="R36" s="181">
        <v>2030</v>
      </c>
      <c r="S36" s="181">
        <v>1407</v>
      </c>
      <c r="T36" s="181">
        <v>1022</v>
      </c>
      <c r="U36" s="394">
        <v>0.72636815920398001</v>
      </c>
    </row>
    <row r="37" spans="1:21">
      <c r="A37" s="349" t="s">
        <v>58</v>
      </c>
      <c r="B37" s="163">
        <v>4102</v>
      </c>
      <c r="C37" s="384">
        <f t="shared" si="0"/>
        <v>3980</v>
      </c>
      <c r="D37" s="385">
        <f t="shared" si="1"/>
        <v>97.025841053144802</v>
      </c>
      <c r="E37" s="386">
        <f t="shared" si="2"/>
        <v>1</v>
      </c>
      <c r="F37" s="387">
        <f t="shared" si="3"/>
        <v>882</v>
      </c>
      <c r="G37" s="387">
        <f t="shared" si="4"/>
        <v>583</v>
      </c>
      <c r="H37" s="388">
        <f t="shared" si="5"/>
        <v>66.099773242630377</v>
      </c>
      <c r="I37" s="389">
        <f t="shared" si="6"/>
        <v>0</v>
      </c>
      <c r="J37" s="390">
        <f t="shared" si="7"/>
        <v>0</v>
      </c>
      <c r="K37" s="391">
        <f t="shared" si="8"/>
        <v>3.881033642125792</v>
      </c>
      <c r="L37" s="392">
        <f t="shared" si="9"/>
        <v>29.10775231594344</v>
      </c>
      <c r="M37" s="393">
        <f t="shared" si="10"/>
        <v>32</v>
      </c>
      <c r="O37" s="185" t="s">
        <v>38</v>
      </c>
      <c r="P37" s="181">
        <v>10169</v>
      </c>
      <c r="Q37" s="181">
        <v>9763</v>
      </c>
      <c r="R37" s="181">
        <v>3099</v>
      </c>
      <c r="S37" s="181">
        <v>2257</v>
      </c>
      <c r="T37" s="181">
        <v>1541</v>
      </c>
      <c r="U37" s="394">
        <v>0.68276473194506004</v>
      </c>
    </row>
    <row r="38" spans="1:21">
      <c r="A38" s="349" t="s">
        <v>60</v>
      </c>
      <c r="B38" s="163">
        <v>3096</v>
      </c>
      <c r="C38" s="384">
        <f t="shared" si="0"/>
        <v>3074</v>
      </c>
      <c r="D38" s="385">
        <f t="shared" si="1"/>
        <v>99.289405684754513</v>
      </c>
      <c r="E38" s="386">
        <f t="shared" si="2"/>
        <v>1</v>
      </c>
      <c r="F38" s="387">
        <f t="shared" si="3"/>
        <v>746</v>
      </c>
      <c r="G38" s="387">
        <f t="shared" si="4"/>
        <v>436</v>
      </c>
      <c r="H38" s="388">
        <f t="shared" si="5"/>
        <v>58.44504021447721</v>
      </c>
      <c r="I38" s="389">
        <f t="shared" si="6"/>
        <v>0</v>
      </c>
      <c r="J38" s="390">
        <f t="shared" si="7"/>
        <v>0</v>
      </c>
      <c r="K38" s="391">
        <f t="shared" si="8"/>
        <v>3.9715762273901807</v>
      </c>
      <c r="L38" s="392">
        <f t="shared" si="9"/>
        <v>29.786821705426352</v>
      </c>
      <c r="M38" s="393">
        <f t="shared" si="10"/>
        <v>11</v>
      </c>
      <c r="O38" s="185" t="s">
        <v>40</v>
      </c>
      <c r="P38" s="181">
        <v>7694</v>
      </c>
      <c r="Q38" s="181">
        <v>7392</v>
      </c>
      <c r="R38" s="181">
        <v>2424</v>
      </c>
      <c r="S38" s="181">
        <v>1769</v>
      </c>
      <c r="T38" s="181">
        <v>1202</v>
      </c>
      <c r="U38" s="394">
        <v>0.67947993216506497</v>
      </c>
    </row>
    <row r="39" spans="1:21">
      <c r="A39" s="349" t="s">
        <v>62</v>
      </c>
      <c r="B39" s="163">
        <v>3148</v>
      </c>
      <c r="C39" s="384">
        <f t="shared" si="0"/>
        <v>3042</v>
      </c>
      <c r="D39" s="385">
        <f t="shared" si="1"/>
        <v>96.632782719186778</v>
      </c>
      <c r="E39" s="386">
        <f t="shared" si="2"/>
        <v>2</v>
      </c>
      <c r="F39" s="387">
        <f t="shared" si="3"/>
        <v>543</v>
      </c>
      <c r="G39" s="387">
        <f t="shared" si="4"/>
        <v>412</v>
      </c>
      <c r="H39" s="388">
        <f t="shared" si="5"/>
        <v>75.874769797421735</v>
      </c>
      <c r="I39" s="389">
        <f t="shared" si="6"/>
        <v>0</v>
      </c>
      <c r="J39" s="390">
        <f t="shared" si="7"/>
        <v>0</v>
      </c>
      <c r="K39" s="391">
        <f t="shared" si="8"/>
        <v>3.8653113087674713</v>
      </c>
      <c r="L39" s="392">
        <f t="shared" si="9"/>
        <v>28.989834815756033</v>
      </c>
      <c r="M39" s="393">
        <f t="shared" si="10"/>
        <v>35</v>
      </c>
      <c r="O39" s="185" t="s">
        <v>43</v>
      </c>
      <c r="P39" s="181">
        <v>8708</v>
      </c>
      <c r="Q39" s="181">
        <v>8421</v>
      </c>
      <c r="R39" s="181">
        <v>2693</v>
      </c>
      <c r="S39" s="181">
        <v>1666</v>
      </c>
      <c r="T39" s="181">
        <v>1303</v>
      </c>
      <c r="U39" s="394">
        <v>0.78211284513805501</v>
      </c>
    </row>
    <row r="40" spans="1:21">
      <c r="A40" s="349" t="s">
        <v>63</v>
      </c>
      <c r="B40" s="163">
        <v>1815</v>
      </c>
      <c r="C40" s="384">
        <f t="shared" si="0"/>
        <v>1804</v>
      </c>
      <c r="D40" s="385">
        <f t="shared" si="1"/>
        <v>99.393939393939405</v>
      </c>
      <c r="E40" s="386">
        <f t="shared" si="2"/>
        <v>7</v>
      </c>
      <c r="F40" s="387">
        <f t="shared" si="3"/>
        <v>432</v>
      </c>
      <c r="G40" s="387">
        <f t="shared" si="4"/>
        <v>310</v>
      </c>
      <c r="H40" s="388">
        <f t="shared" si="5"/>
        <v>71.759259259259252</v>
      </c>
      <c r="I40" s="389">
        <f t="shared" si="6"/>
        <v>0</v>
      </c>
      <c r="J40" s="390">
        <f t="shared" si="7"/>
        <v>0</v>
      </c>
      <c r="K40" s="391">
        <f t="shared" si="8"/>
        <v>3.9757575757575765</v>
      </c>
      <c r="L40" s="392">
        <f t="shared" si="9"/>
        <v>29.81818181818182</v>
      </c>
      <c r="M40" s="393">
        <f t="shared" si="10"/>
        <v>9</v>
      </c>
      <c r="O40" s="185" t="s">
        <v>29</v>
      </c>
      <c r="P40" s="181">
        <v>7658</v>
      </c>
      <c r="Q40" s="181">
        <v>7349</v>
      </c>
      <c r="R40" s="181">
        <v>2749</v>
      </c>
      <c r="S40" s="181">
        <v>1777</v>
      </c>
      <c r="T40" s="181">
        <v>1328</v>
      </c>
      <c r="U40" s="394">
        <v>0.74732695554304995</v>
      </c>
    </row>
    <row r="41" spans="1:21">
      <c r="A41" s="349" t="s">
        <v>65</v>
      </c>
      <c r="B41" s="163">
        <v>1064</v>
      </c>
      <c r="C41" s="384">
        <f t="shared" si="0"/>
        <v>1025</v>
      </c>
      <c r="D41" s="385">
        <f t="shared" si="1"/>
        <v>96.334586466165405</v>
      </c>
      <c r="E41" s="386">
        <f t="shared" si="2"/>
        <v>0</v>
      </c>
      <c r="F41" s="387">
        <f t="shared" si="3"/>
        <v>245</v>
      </c>
      <c r="G41" s="387">
        <f t="shared" si="4"/>
        <v>155</v>
      </c>
      <c r="H41" s="388">
        <f t="shared" si="5"/>
        <v>63.265306122448976</v>
      </c>
      <c r="I41" s="389">
        <f t="shared" si="6"/>
        <v>0</v>
      </c>
      <c r="J41" s="390">
        <f t="shared" si="7"/>
        <v>0</v>
      </c>
      <c r="K41" s="391">
        <f t="shared" si="8"/>
        <v>3.8533834586466162</v>
      </c>
      <c r="L41" s="392">
        <f t="shared" si="9"/>
        <v>28.900375939849621</v>
      </c>
      <c r="M41" s="393">
        <f t="shared" si="10"/>
        <v>37</v>
      </c>
      <c r="O41" s="185" t="s">
        <v>41</v>
      </c>
      <c r="P41" s="181">
        <v>16322</v>
      </c>
      <c r="Q41" s="181">
        <v>15720</v>
      </c>
      <c r="R41" s="181">
        <v>4946</v>
      </c>
      <c r="S41" s="181">
        <v>3586</v>
      </c>
      <c r="T41" s="181">
        <v>2597</v>
      </c>
      <c r="U41" s="394">
        <v>0.72420524261015096</v>
      </c>
    </row>
    <row r="42" spans="1:21">
      <c r="A42" s="349" t="s">
        <v>64</v>
      </c>
      <c r="B42" s="163">
        <v>3723</v>
      </c>
      <c r="C42" s="384">
        <f t="shared" si="0"/>
        <v>3665</v>
      </c>
      <c r="D42" s="385">
        <f t="shared" si="1"/>
        <v>98.442116572656474</v>
      </c>
      <c r="E42" s="386">
        <f t="shared" si="2"/>
        <v>1</v>
      </c>
      <c r="F42" s="387">
        <f t="shared" si="3"/>
        <v>717</v>
      </c>
      <c r="G42" s="387">
        <f t="shared" si="4"/>
        <v>535</v>
      </c>
      <c r="H42" s="388">
        <f t="shared" si="5"/>
        <v>74.616457461645751</v>
      </c>
      <c r="I42" s="389">
        <f t="shared" si="6"/>
        <v>0</v>
      </c>
      <c r="J42" s="390">
        <f t="shared" si="7"/>
        <v>0</v>
      </c>
      <c r="K42" s="391">
        <f t="shared" si="8"/>
        <v>3.9376846629062592</v>
      </c>
      <c r="L42" s="392">
        <f t="shared" si="9"/>
        <v>29.532634971796941</v>
      </c>
      <c r="M42" s="393">
        <f t="shared" si="10"/>
        <v>18</v>
      </c>
      <c r="O42" s="185" t="s">
        <v>44</v>
      </c>
      <c r="P42" s="181">
        <v>7207</v>
      </c>
      <c r="Q42" s="181">
        <v>6859</v>
      </c>
      <c r="R42" s="181">
        <v>2073</v>
      </c>
      <c r="S42" s="181">
        <v>1537</v>
      </c>
      <c r="T42" s="181">
        <v>1012</v>
      </c>
      <c r="U42" s="394">
        <v>0.65842550422901802</v>
      </c>
    </row>
    <row r="43" spans="1:21">
      <c r="A43" s="349" t="s">
        <v>66</v>
      </c>
      <c r="B43" s="163">
        <v>2681</v>
      </c>
      <c r="C43" s="384">
        <f t="shared" si="0"/>
        <v>2652</v>
      </c>
      <c r="D43" s="385">
        <f t="shared" si="1"/>
        <v>98.918314061917201</v>
      </c>
      <c r="E43" s="386">
        <f t="shared" si="2"/>
        <v>0</v>
      </c>
      <c r="F43" s="387">
        <f t="shared" si="3"/>
        <v>534</v>
      </c>
      <c r="G43" s="387">
        <f t="shared" si="4"/>
        <v>363</v>
      </c>
      <c r="H43" s="388">
        <f t="shared" si="5"/>
        <v>67.977528089887642</v>
      </c>
      <c r="I43" s="389">
        <f t="shared" si="6"/>
        <v>0</v>
      </c>
      <c r="J43" s="390">
        <f t="shared" si="7"/>
        <v>0</v>
      </c>
      <c r="K43" s="391">
        <f t="shared" si="8"/>
        <v>3.956732562476688</v>
      </c>
      <c r="L43" s="392">
        <f t="shared" si="9"/>
        <v>29.67549421857516</v>
      </c>
      <c r="M43" s="393">
        <f t="shared" si="10"/>
        <v>14</v>
      </c>
      <c r="O43" s="185" t="s">
        <v>30</v>
      </c>
      <c r="P43" s="181">
        <v>6078</v>
      </c>
      <c r="Q43" s="181">
        <v>5864</v>
      </c>
      <c r="R43" s="181">
        <v>1840</v>
      </c>
      <c r="S43" s="181">
        <v>1186</v>
      </c>
      <c r="T43" s="181">
        <v>850</v>
      </c>
      <c r="U43" s="394">
        <v>0.71669477234401302</v>
      </c>
    </row>
    <row r="44" spans="1:21">
      <c r="A44" s="360" t="s">
        <v>67</v>
      </c>
      <c r="B44" s="188">
        <v>4481</v>
      </c>
      <c r="C44" s="396">
        <f t="shared" si="0"/>
        <v>4460</v>
      </c>
      <c r="D44" s="385">
        <f t="shared" si="1"/>
        <v>99.531354608346348</v>
      </c>
      <c r="E44" s="386">
        <f t="shared" si="2"/>
        <v>6</v>
      </c>
      <c r="F44" s="397">
        <f t="shared" si="3"/>
        <v>1092</v>
      </c>
      <c r="G44" s="397">
        <f t="shared" si="4"/>
        <v>758</v>
      </c>
      <c r="H44" s="388">
        <f t="shared" si="5"/>
        <v>69.413919413919416</v>
      </c>
      <c r="I44" s="390">
        <f t="shared" si="6"/>
        <v>0</v>
      </c>
      <c r="J44" s="390">
        <f t="shared" si="7"/>
        <v>0</v>
      </c>
      <c r="K44" s="391">
        <f t="shared" si="8"/>
        <v>3.9812541843338538</v>
      </c>
      <c r="L44" s="392">
        <f t="shared" si="9"/>
        <v>29.859406382503902</v>
      </c>
      <c r="M44" s="393">
        <f t="shared" si="10"/>
        <v>8</v>
      </c>
      <c r="O44" s="185" t="s">
        <v>47</v>
      </c>
      <c r="P44" s="181">
        <v>7510</v>
      </c>
      <c r="Q44" s="181">
        <v>7164</v>
      </c>
      <c r="R44" s="181">
        <v>1974</v>
      </c>
      <c r="S44" s="181">
        <v>1631</v>
      </c>
      <c r="T44" s="181">
        <v>1061</v>
      </c>
      <c r="U44" s="394">
        <v>0.650521152667075</v>
      </c>
    </row>
    <row r="45" spans="1:21">
      <c r="A45" s="360" t="s">
        <v>224</v>
      </c>
      <c r="B45" s="398">
        <v>50</v>
      </c>
      <c r="C45" s="399">
        <v>63</v>
      </c>
      <c r="D45" s="385"/>
      <c r="E45" s="400"/>
      <c r="F45" s="269">
        <v>29</v>
      </c>
      <c r="G45" s="269">
        <v>23</v>
      </c>
      <c r="H45" s="401">
        <v>16</v>
      </c>
      <c r="I45" s="269"/>
      <c r="J45" s="269"/>
      <c r="K45" s="402"/>
      <c r="L45" s="402"/>
      <c r="M45" s="403"/>
      <c r="O45" s="185" t="s">
        <v>48</v>
      </c>
      <c r="P45" s="181">
        <v>6768</v>
      </c>
      <c r="Q45" s="181">
        <v>6533</v>
      </c>
      <c r="R45" s="181">
        <v>2133</v>
      </c>
      <c r="S45" s="181">
        <v>1498</v>
      </c>
      <c r="T45" s="181">
        <v>1077</v>
      </c>
      <c r="U45" s="394">
        <v>0.71895861148197604</v>
      </c>
    </row>
    <row r="46" spans="1:21" ht="17.25" thickBot="1">
      <c r="A46" s="318" t="s">
        <v>225</v>
      </c>
      <c r="B46" s="404">
        <f>SUM(B5:B45)</f>
        <v>278500</v>
      </c>
      <c r="C46" s="404">
        <f>SUM(C5:C45)</f>
        <v>273590</v>
      </c>
      <c r="D46" s="405">
        <f>C46/B46%</f>
        <v>98.236983842010773</v>
      </c>
      <c r="E46" s="406">
        <f>SUM(E5:E44)</f>
        <v>164</v>
      </c>
      <c r="F46" s="407">
        <f>SUM(F5:F45)</f>
        <v>60670</v>
      </c>
      <c r="G46" s="407">
        <f>SUM(G5:G45)</f>
        <v>42091</v>
      </c>
      <c r="H46" s="405">
        <f>G46/F46%</f>
        <v>69.376957310037909</v>
      </c>
      <c r="I46" s="408"/>
      <c r="J46" s="408"/>
      <c r="K46" s="408"/>
      <c r="L46" s="409"/>
      <c r="M46" s="410"/>
      <c r="O46" s="185" t="s">
        <v>51</v>
      </c>
      <c r="P46" s="181">
        <v>8518</v>
      </c>
      <c r="Q46" s="181">
        <v>8169</v>
      </c>
      <c r="R46" s="181">
        <v>2782</v>
      </c>
      <c r="S46" s="181">
        <v>1939</v>
      </c>
      <c r="T46" s="181">
        <v>1388</v>
      </c>
      <c r="U46" s="394">
        <v>0.71583290355853502</v>
      </c>
    </row>
    <row r="47" spans="1:21" ht="22.5">
      <c r="A47" s="411"/>
      <c r="B47" s="411"/>
      <c r="C47" s="411"/>
      <c r="D47" s="411"/>
      <c r="E47" s="411"/>
      <c r="F47" s="411"/>
      <c r="G47" s="411"/>
      <c r="H47" s="411"/>
      <c r="I47" s="411"/>
      <c r="J47" s="411"/>
      <c r="K47" s="303"/>
      <c r="L47" s="303"/>
      <c r="M47" s="303"/>
      <c r="O47" s="185" t="s">
        <v>226</v>
      </c>
      <c r="P47" s="181">
        <v>5</v>
      </c>
      <c r="Q47" s="181">
        <v>5</v>
      </c>
      <c r="R47" s="181">
        <v>3</v>
      </c>
      <c r="S47" s="181">
        <v>3</v>
      </c>
      <c r="T47" s="181">
        <v>1</v>
      </c>
      <c r="U47" s="394">
        <v>0.33333333333333298</v>
      </c>
    </row>
    <row r="48" spans="1:21" ht="22.5">
      <c r="O48" s="185" t="s">
        <v>227</v>
      </c>
      <c r="P48" s="181">
        <v>59</v>
      </c>
      <c r="Q48" s="181">
        <v>58</v>
      </c>
      <c r="R48" s="181">
        <v>39</v>
      </c>
      <c r="S48" s="181">
        <v>26</v>
      </c>
      <c r="T48" s="181">
        <v>22</v>
      </c>
      <c r="U48" s="394">
        <v>0.84615384615384603</v>
      </c>
    </row>
    <row r="49" spans="11:21">
      <c r="P49" s="182">
        <v>284808</v>
      </c>
      <c r="Q49" s="182">
        <v>273590</v>
      </c>
      <c r="R49" s="182">
        <v>87686</v>
      </c>
      <c r="S49" s="182">
        <v>60670</v>
      </c>
      <c r="T49" s="182">
        <v>42091</v>
      </c>
      <c r="U49" s="412">
        <v>0.69376957310037901</v>
      </c>
    </row>
    <row r="50" spans="11:21">
      <c r="P50" s="182"/>
      <c r="Q50" s="182"/>
      <c r="R50" s="182"/>
      <c r="S50" s="182"/>
      <c r="T50" s="182"/>
      <c r="U50" s="412"/>
    </row>
    <row r="51" spans="11:21">
      <c r="O51" s="413" t="s">
        <v>228</v>
      </c>
      <c r="P51" s="182"/>
      <c r="Q51" s="182"/>
      <c r="R51" s="182"/>
      <c r="S51" s="182"/>
      <c r="T51" s="182"/>
      <c r="U51" s="412"/>
    </row>
    <row r="52" spans="11:21" ht="33.75">
      <c r="O52" s="369"/>
      <c r="P52" s="383" t="s">
        <v>218</v>
      </c>
      <c r="Q52" s="383" t="s">
        <v>219</v>
      </c>
      <c r="R52" s="383" t="s">
        <v>220</v>
      </c>
      <c r="S52" s="383" t="s">
        <v>221</v>
      </c>
      <c r="T52" s="371" t="s">
        <v>222</v>
      </c>
    </row>
    <row r="53" spans="11:21">
      <c r="O53" s="180" t="s">
        <v>49</v>
      </c>
      <c r="P53" s="181">
        <v>10336</v>
      </c>
      <c r="Q53" s="181">
        <v>9916</v>
      </c>
      <c r="R53" s="181">
        <v>3635</v>
      </c>
      <c r="S53" s="181">
        <v>2270</v>
      </c>
      <c r="T53" s="181">
        <v>1700</v>
      </c>
      <c r="U53" s="394">
        <v>0.74889867841409696</v>
      </c>
    </row>
    <row r="54" spans="11:21">
      <c r="O54" s="185" t="s">
        <v>28</v>
      </c>
      <c r="P54" s="181">
        <v>10520</v>
      </c>
      <c r="Q54" s="181">
        <v>10142</v>
      </c>
      <c r="R54" s="181">
        <v>3396</v>
      </c>
      <c r="S54" s="181">
        <v>1993</v>
      </c>
      <c r="T54" s="181">
        <v>1486</v>
      </c>
      <c r="U54" s="394">
        <v>0.74560963371801303</v>
      </c>
    </row>
    <row r="55" spans="11:21">
      <c r="O55" s="185" t="s">
        <v>32</v>
      </c>
      <c r="P55" s="181">
        <v>11063</v>
      </c>
      <c r="Q55" s="181">
        <v>10629</v>
      </c>
      <c r="R55" s="181">
        <v>3736</v>
      </c>
      <c r="S55" s="181">
        <v>2635</v>
      </c>
      <c r="T55" s="181">
        <v>1891</v>
      </c>
      <c r="U55" s="394">
        <v>0.71764705882352897</v>
      </c>
    </row>
    <row r="56" spans="11:21">
      <c r="O56" s="185" t="s">
        <v>64</v>
      </c>
      <c r="P56" s="181">
        <v>3832</v>
      </c>
      <c r="Q56" s="181">
        <v>3664</v>
      </c>
      <c r="R56" s="181">
        <v>1144</v>
      </c>
      <c r="S56" s="181">
        <v>719</v>
      </c>
      <c r="T56" s="181">
        <v>534</v>
      </c>
      <c r="U56" s="394">
        <v>0.74269819193324105</v>
      </c>
    </row>
    <row r="57" spans="11:21">
      <c r="O57" s="185" t="s">
        <v>61</v>
      </c>
      <c r="P57" s="181">
        <v>4653</v>
      </c>
      <c r="Q57" s="181">
        <v>4476</v>
      </c>
      <c r="R57" s="181">
        <v>1473</v>
      </c>
      <c r="S57" s="181">
        <v>1137</v>
      </c>
      <c r="T57" s="181">
        <v>789</v>
      </c>
      <c r="U57" s="394">
        <v>0.693931398416887</v>
      </c>
    </row>
    <row r="58" spans="11:21">
      <c r="O58" s="185" t="s">
        <v>57</v>
      </c>
      <c r="P58" s="181">
        <v>2624</v>
      </c>
      <c r="Q58" s="181">
        <v>2535</v>
      </c>
      <c r="R58" s="181">
        <v>768</v>
      </c>
      <c r="S58" s="181">
        <v>566</v>
      </c>
      <c r="T58" s="181">
        <v>362</v>
      </c>
      <c r="U58" s="394">
        <v>0.63957597173144898</v>
      </c>
    </row>
    <row r="59" spans="11:21">
      <c r="O59" s="185" t="s">
        <v>52</v>
      </c>
      <c r="P59" s="181">
        <v>6826</v>
      </c>
      <c r="Q59" s="181">
        <v>6544</v>
      </c>
      <c r="R59" s="181">
        <v>2294</v>
      </c>
      <c r="S59" s="181">
        <v>1640</v>
      </c>
      <c r="T59" s="181">
        <v>1193</v>
      </c>
      <c r="U59" s="394">
        <v>0.72743902439024399</v>
      </c>
    </row>
    <row r="60" spans="11:21">
      <c r="K60" s="1" t="s">
        <v>229</v>
      </c>
      <c r="O60" s="185" t="s">
        <v>55</v>
      </c>
      <c r="P60" s="181">
        <v>2672</v>
      </c>
      <c r="Q60" s="181">
        <v>2601</v>
      </c>
      <c r="R60" s="181">
        <v>661</v>
      </c>
      <c r="S60" s="181">
        <v>491</v>
      </c>
      <c r="T60" s="181">
        <v>311</v>
      </c>
      <c r="U60" s="394">
        <v>0.63340122199592697</v>
      </c>
    </row>
    <row r="61" spans="11:21">
      <c r="O61" s="185" t="s">
        <v>56</v>
      </c>
      <c r="P61" s="181">
        <v>3596</v>
      </c>
      <c r="Q61" s="181">
        <v>3459</v>
      </c>
      <c r="R61" s="181">
        <v>1078</v>
      </c>
      <c r="S61" s="181">
        <v>814</v>
      </c>
      <c r="T61" s="181">
        <v>513</v>
      </c>
      <c r="U61" s="394">
        <v>0.63022113022113002</v>
      </c>
    </row>
    <row r="62" spans="11:21">
      <c r="O62" s="185" t="s">
        <v>58</v>
      </c>
      <c r="P62" s="181">
        <v>4119</v>
      </c>
      <c r="Q62" s="181">
        <v>3979</v>
      </c>
      <c r="R62" s="181">
        <v>1306</v>
      </c>
      <c r="S62" s="181">
        <v>880</v>
      </c>
      <c r="T62" s="181">
        <v>579</v>
      </c>
      <c r="U62" s="394">
        <v>0.65795454545454501</v>
      </c>
    </row>
    <row r="63" spans="11:21">
      <c r="O63" s="185" t="s">
        <v>60</v>
      </c>
      <c r="P63" s="181">
        <v>3183</v>
      </c>
      <c r="Q63" s="181">
        <v>3073</v>
      </c>
      <c r="R63" s="181">
        <v>910</v>
      </c>
      <c r="S63" s="181">
        <v>745</v>
      </c>
      <c r="T63" s="181">
        <v>434</v>
      </c>
      <c r="U63" s="394">
        <v>0.58255033557046998</v>
      </c>
    </row>
    <row r="64" spans="11:21">
      <c r="O64" s="185" t="s">
        <v>53</v>
      </c>
      <c r="P64" s="181">
        <v>5716</v>
      </c>
      <c r="Q64" s="181">
        <v>5541</v>
      </c>
      <c r="R64" s="181">
        <v>1941</v>
      </c>
      <c r="S64" s="181">
        <v>1433</v>
      </c>
      <c r="T64" s="181">
        <v>946</v>
      </c>
      <c r="U64" s="394">
        <v>0.66015352407536598</v>
      </c>
    </row>
    <row r="65" spans="15:24">
      <c r="O65" s="185" t="s">
        <v>54</v>
      </c>
      <c r="P65" s="181">
        <v>4496</v>
      </c>
      <c r="Q65" s="181">
        <v>4345</v>
      </c>
      <c r="R65" s="181">
        <v>1365</v>
      </c>
      <c r="S65" s="181">
        <v>935</v>
      </c>
      <c r="T65" s="181">
        <v>590</v>
      </c>
      <c r="U65" s="394">
        <v>0.63101604278074896</v>
      </c>
    </row>
    <row r="66" spans="15:24">
      <c r="O66" s="185" t="s">
        <v>59</v>
      </c>
      <c r="P66" s="181">
        <v>3940</v>
      </c>
      <c r="Q66" s="181">
        <v>3806</v>
      </c>
      <c r="R66" s="181">
        <v>1122</v>
      </c>
      <c r="S66" s="181">
        <v>759</v>
      </c>
      <c r="T66" s="181">
        <v>507</v>
      </c>
      <c r="U66" s="394">
        <v>0.66798418972331997</v>
      </c>
    </row>
    <row r="67" spans="15:24">
      <c r="O67" s="185" t="s">
        <v>33</v>
      </c>
      <c r="P67" s="181">
        <v>9318</v>
      </c>
      <c r="Q67" s="181">
        <v>8990</v>
      </c>
      <c r="R67" s="181">
        <v>2808</v>
      </c>
      <c r="S67" s="181">
        <v>1748</v>
      </c>
      <c r="T67" s="181">
        <v>1160</v>
      </c>
      <c r="U67" s="394">
        <v>0.66361556064073202</v>
      </c>
    </row>
    <row r="68" spans="15:24">
      <c r="O68" s="185" t="s">
        <v>50</v>
      </c>
      <c r="P68" s="181">
        <v>9099</v>
      </c>
      <c r="Q68" s="181">
        <v>8741</v>
      </c>
      <c r="R68" s="181">
        <v>2297</v>
      </c>
      <c r="S68" s="181">
        <v>1779</v>
      </c>
      <c r="T68" s="181">
        <v>1204</v>
      </c>
      <c r="U68" s="394">
        <v>0.676784710511523</v>
      </c>
    </row>
    <row r="69" spans="15:24">
      <c r="O69" s="185" t="s">
        <v>62</v>
      </c>
      <c r="P69" s="181">
        <v>3182</v>
      </c>
      <c r="Q69" s="181">
        <v>3040</v>
      </c>
      <c r="R69" s="181">
        <v>967</v>
      </c>
      <c r="S69" s="181">
        <v>541</v>
      </c>
      <c r="T69" s="181">
        <v>407</v>
      </c>
      <c r="U69" s="394">
        <v>0.75231053604436204</v>
      </c>
    </row>
    <row r="70" spans="15:24">
      <c r="O70" s="185" t="s">
        <v>34</v>
      </c>
      <c r="P70" s="181">
        <v>10677</v>
      </c>
      <c r="Q70" s="181">
        <v>10222</v>
      </c>
      <c r="R70" s="181">
        <v>2841</v>
      </c>
      <c r="S70" s="181">
        <v>2267</v>
      </c>
      <c r="T70" s="181">
        <v>1401</v>
      </c>
      <c r="U70" s="394">
        <v>0.61799735333039296</v>
      </c>
    </row>
    <row r="71" spans="15:24">
      <c r="O71" s="185" t="s">
        <v>66</v>
      </c>
      <c r="P71" s="181">
        <v>2760</v>
      </c>
      <c r="Q71" s="181">
        <v>2652</v>
      </c>
      <c r="R71" s="181">
        <v>864</v>
      </c>
      <c r="S71" s="181">
        <v>533</v>
      </c>
      <c r="T71" s="181">
        <v>362</v>
      </c>
      <c r="U71" s="394">
        <v>0.679174484052533</v>
      </c>
    </row>
    <row r="72" spans="15:24">
      <c r="O72" s="185" t="s">
        <v>63</v>
      </c>
      <c r="P72" s="181">
        <v>1865</v>
      </c>
      <c r="Q72" s="181">
        <v>1797</v>
      </c>
      <c r="R72" s="181">
        <v>619</v>
      </c>
      <c r="S72" s="181">
        <v>425</v>
      </c>
      <c r="T72" s="181">
        <v>303</v>
      </c>
      <c r="U72" s="394">
        <v>0.71294117647058797</v>
      </c>
    </row>
    <row r="73" spans="15:24">
      <c r="O73" s="185" t="s">
        <v>65</v>
      </c>
      <c r="P73" s="181">
        <v>1053</v>
      </c>
      <c r="Q73" s="181">
        <v>1025</v>
      </c>
      <c r="R73" s="181">
        <v>457</v>
      </c>
      <c r="S73" s="181">
        <v>245</v>
      </c>
      <c r="T73" s="181">
        <v>154</v>
      </c>
      <c r="U73" s="394">
        <v>0.628571428571429</v>
      </c>
    </row>
    <row r="74" spans="15:24">
      <c r="O74" s="185" t="s">
        <v>45</v>
      </c>
      <c r="P74" s="181">
        <v>8454</v>
      </c>
      <c r="Q74" s="181">
        <v>8104</v>
      </c>
      <c r="R74" s="181">
        <v>2963</v>
      </c>
      <c r="S74" s="181">
        <v>1571</v>
      </c>
      <c r="T74" s="181">
        <v>1232</v>
      </c>
      <c r="U74" s="394">
        <v>0.78421387651177599</v>
      </c>
    </row>
    <row r="75" spans="15:24">
      <c r="O75" s="185" t="s">
        <v>67</v>
      </c>
      <c r="P75" s="181">
        <v>4669</v>
      </c>
      <c r="Q75" s="181">
        <v>4454</v>
      </c>
      <c r="R75" s="181">
        <v>1391</v>
      </c>
      <c r="S75" s="181">
        <v>1091</v>
      </c>
      <c r="T75" s="181">
        <v>755</v>
      </c>
      <c r="U75" s="394">
        <v>0.692025664527956</v>
      </c>
    </row>
    <row r="76" spans="15:24">
      <c r="O76" s="185" t="s">
        <v>39</v>
      </c>
      <c r="P76" s="181">
        <v>10977</v>
      </c>
      <c r="Q76" s="181">
        <v>10490</v>
      </c>
      <c r="R76" s="181">
        <v>3159</v>
      </c>
      <c r="S76" s="181">
        <v>2311</v>
      </c>
      <c r="T76" s="181">
        <v>1371</v>
      </c>
      <c r="U76" s="394">
        <v>0.59324967546516705</v>
      </c>
    </row>
    <row r="77" spans="15:24">
      <c r="O77" s="185" t="s">
        <v>46</v>
      </c>
      <c r="P77" s="181">
        <v>6885</v>
      </c>
      <c r="Q77" s="181">
        <v>6567</v>
      </c>
      <c r="R77" s="181">
        <v>1896</v>
      </c>
      <c r="S77" s="181">
        <v>1515</v>
      </c>
      <c r="T77" s="181">
        <v>1047</v>
      </c>
      <c r="U77" s="394">
        <v>0.69108910891089104</v>
      </c>
    </row>
    <row r="78" spans="15:24">
      <c r="O78" s="230" t="s">
        <v>31</v>
      </c>
      <c r="P78" s="231">
        <v>10836</v>
      </c>
      <c r="Q78" s="231">
        <v>10420</v>
      </c>
      <c r="R78" s="231">
        <v>2732</v>
      </c>
      <c r="S78" s="231">
        <v>1828</v>
      </c>
      <c r="T78" s="231">
        <v>1174</v>
      </c>
      <c r="U78" s="395">
        <v>0.64223194748358903</v>
      </c>
      <c r="V78" s="235">
        <f>Q78+Q82</f>
        <v>16814</v>
      </c>
      <c r="W78" s="235">
        <f>S78+S82</f>
        <v>3499</v>
      </c>
      <c r="X78" s="235">
        <f>T78+T82</f>
        <v>2290</v>
      </c>
    </row>
    <row r="79" spans="15:24">
      <c r="O79" s="185" t="s">
        <v>42</v>
      </c>
      <c r="P79" s="181">
        <v>14543</v>
      </c>
      <c r="Q79" s="181">
        <v>13952</v>
      </c>
      <c r="R79" s="181">
        <v>4485</v>
      </c>
      <c r="S79" s="181">
        <v>2789</v>
      </c>
      <c r="T79" s="181">
        <v>1996</v>
      </c>
      <c r="U79" s="394">
        <v>0.715668698458229</v>
      </c>
    </row>
    <row r="80" spans="15:24">
      <c r="O80" s="185" t="s">
        <v>36</v>
      </c>
      <c r="P80" s="181">
        <v>3396</v>
      </c>
      <c r="Q80" s="181">
        <v>3224</v>
      </c>
      <c r="R80" s="181">
        <v>1255</v>
      </c>
      <c r="S80" s="181">
        <v>956</v>
      </c>
      <c r="T80" s="181">
        <v>662</v>
      </c>
      <c r="U80" s="394">
        <v>0.69246861924686198</v>
      </c>
    </row>
    <row r="81" spans="15:21">
      <c r="O81" s="185" t="s">
        <v>35</v>
      </c>
      <c r="P81" s="181">
        <v>9363</v>
      </c>
      <c r="Q81" s="181">
        <v>9002</v>
      </c>
      <c r="R81" s="181">
        <v>2818</v>
      </c>
      <c r="S81" s="181">
        <v>2036</v>
      </c>
      <c r="T81" s="181">
        <v>1383</v>
      </c>
      <c r="U81" s="394">
        <v>0.67927308447937096</v>
      </c>
    </row>
    <row r="82" spans="15:21">
      <c r="O82" s="230" t="s">
        <v>174</v>
      </c>
      <c r="P82" s="231">
        <v>6679</v>
      </c>
      <c r="Q82" s="231">
        <v>6394</v>
      </c>
      <c r="R82" s="231">
        <v>2343</v>
      </c>
      <c r="S82" s="231">
        <v>1671</v>
      </c>
      <c r="T82" s="231">
        <v>1116</v>
      </c>
      <c r="U82" s="395">
        <v>0.66786355475763004</v>
      </c>
    </row>
    <row r="83" spans="15:21">
      <c r="O83" s="185" t="s">
        <v>37</v>
      </c>
      <c r="P83" s="181">
        <v>6662</v>
      </c>
      <c r="Q83" s="181">
        <v>6399</v>
      </c>
      <c r="R83" s="181">
        <v>2023</v>
      </c>
      <c r="S83" s="181">
        <v>1403</v>
      </c>
      <c r="T83" s="181">
        <v>1017</v>
      </c>
      <c r="U83" s="394">
        <v>0.724875267284391</v>
      </c>
    </row>
    <row r="84" spans="15:21">
      <c r="O84" s="185" t="s">
        <v>38</v>
      </c>
      <c r="P84" s="181">
        <v>10166</v>
      </c>
      <c r="Q84" s="181">
        <v>9760</v>
      </c>
      <c r="R84" s="181">
        <v>3095</v>
      </c>
      <c r="S84" s="181">
        <v>2254</v>
      </c>
      <c r="T84" s="181">
        <v>1538</v>
      </c>
      <c r="U84" s="394">
        <v>0.68234250221827897</v>
      </c>
    </row>
    <row r="85" spans="15:21">
      <c r="O85" s="185" t="s">
        <v>40</v>
      </c>
      <c r="P85" s="181">
        <v>7689</v>
      </c>
      <c r="Q85" s="181">
        <v>7388</v>
      </c>
      <c r="R85" s="181">
        <v>2419</v>
      </c>
      <c r="S85" s="181">
        <v>1769</v>
      </c>
      <c r="T85" s="181">
        <v>1198</v>
      </c>
      <c r="U85" s="394">
        <v>0.67721876766534805</v>
      </c>
    </row>
    <row r="86" spans="15:21">
      <c r="O86" s="185" t="s">
        <v>43</v>
      </c>
      <c r="P86" s="181">
        <v>8692</v>
      </c>
      <c r="Q86" s="181">
        <v>8406</v>
      </c>
      <c r="R86" s="181">
        <v>2676</v>
      </c>
      <c r="S86" s="181">
        <v>1656</v>
      </c>
      <c r="T86" s="181">
        <v>1287</v>
      </c>
      <c r="U86" s="394">
        <v>0.77717391304347805</v>
      </c>
    </row>
    <row r="87" spans="15:21">
      <c r="O87" s="185" t="s">
        <v>29</v>
      </c>
      <c r="P87" s="181">
        <v>7653</v>
      </c>
      <c r="Q87" s="181">
        <v>7344</v>
      </c>
      <c r="R87" s="181">
        <v>2738</v>
      </c>
      <c r="S87" s="181">
        <v>1772</v>
      </c>
      <c r="T87" s="181">
        <v>1318</v>
      </c>
      <c r="U87" s="394">
        <v>0.743792325056433</v>
      </c>
    </row>
    <row r="88" spans="15:21">
      <c r="O88" s="185" t="s">
        <v>41</v>
      </c>
      <c r="P88" s="181">
        <v>16311</v>
      </c>
      <c r="Q88" s="181">
        <v>15711</v>
      </c>
      <c r="R88" s="181">
        <v>4931</v>
      </c>
      <c r="S88" s="181">
        <v>3584</v>
      </c>
      <c r="T88" s="181">
        <v>2586</v>
      </c>
      <c r="U88" s="394">
        <v>0.72154017857142905</v>
      </c>
    </row>
    <row r="89" spans="15:21">
      <c r="O89" s="185" t="s">
        <v>44</v>
      </c>
      <c r="P89" s="181">
        <v>7205</v>
      </c>
      <c r="Q89" s="181">
        <v>6858</v>
      </c>
      <c r="R89" s="181">
        <v>2068</v>
      </c>
      <c r="S89" s="181">
        <v>1536</v>
      </c>
      <c r="T89" s="181">
        <v>1010</v>
      </c>
      <c r="U89" s="394">
        <v>0.65755208333333304</v>
      </c>
    </row>
    <row r="90" spans="15:21">
      <c r="O90" s="185" t="s">
        <v>30</v>
      </c>
      <c r="P90" s="181">
        <v>6075</v>
      </c>
      <c r="Q90" s="181">
        <v>5861</v>
      </c>
      <c r="R90" s="181">
        <v>1836</v>
      </c>
      <c r="S90" s="181">
        <v>1184</v>
      </c>
      <c r="T90" s="181">
        <v>846</v>
      </c>
      <c r="U90" s="394">
        <v>0.71452702702702697</v>
      </c>
    </row>
    <row r="91" spans="15:21">
      <c r="O91" s="185" t="s">
        <v>47</v>
      </c>
      <c r="P91" s="181">
        <v>7507</v>
      </c>
      <c r="Q91" s="181">
        <v>7161</v>
      </c>
      <c r="R91" s="181">
        <v>1972</v>
      </c>
      <c r="S91" s="181">
        <v>1632</v>
      </c>
      <c r="T91" s="181">
        <v>1060</v>
      </c>
      <c r="U91" s="394">
        <v>0.64950980392156898</v>
      </c>
    </row>
    <row r="92" spans="15:21">
      <c r="O92" s="185" t="s">
        <v>48</v>
      </c>
      <c r="P92" s="181">
        <v>6763</v>
      </c>
      <c r="Q92" s="181">
        <v>6528</v>
      </c>
      <c r="R92" s="181">
        <v>2125</v>
      </c>
      <c r="S92" s="181">
        <v>1498</v>
      </c>
      <c r="T92" s="181">
        <v>1071</v>
      </c>
      <c r="U92" s="394">
        <v>0.71495327102803696</v>
      </c>
    </row>
    <row r="93" spans="15:21">
      <c r="O93" s="185" t="s">
        <v>51</v>
      </c>
      <c r="P93" s="181">
        <v>8512</v>
      </c>
      <c r="Q93" s="181">
        <v>8163</v>
      </c>
      <c r="R93" s="181">
        <v>2770</v>
      </c>
      <c r="S93" s="181">
        <v>1935</v>
      </c>
      <c r="T93" s="181">
        <v>1378</v>
      </c>
      <c r="U93" s="394">
        <v>0.71214470284237696</v>
      </c>
    </row>
    <row r="94" spans="15:21" ht="22.5">
      <c r="O94" s="185" t="s">
        <v>226</v>
      </c>
      <c r="P94" s="181">
        <v>5</v>
      </c>
      <c r="Q94" s="181">
        <v>5</v>
      </c>
      <c r="R94" s="181">
        <v>3</v>
      </c>
      <c r="S94" s="181">
        <v>3</v>
      </c>
      <c r="T94" s="181">
        <v>1</v>
      </c>
      <c r="U94" s="394">
        <v>0.33333333333333298</v>
      </c>
    </row>
    <row r="95" spans="15:21" ht="22.5">
      <c r="O95" s="185" t="s">
        <v>227</v>
      </c>
      <c r="P95" s="181">
        <v>59</v>
      </c>
      <c r="Q95" s="181">
        <v>58</v>
      </c>
      <c r="R95" s="181">
        <v>39</v>
      </c>
      <c r="S95" s="181">
        <v>26</v>
      </c>
      <c r="T95" s="181">
        <v>22</v>
      </c>
      <c r="U95" s="394">
        <v>0.84615384615384603</v>
      </c>
    </row>
    <row r="96" spans="15:21">
      <c r="P96" s="182">
        <v>284631</v>
      </c>
      <c r="Q96" s="182">
        <v>273426</v>
      </c>
      <c r="R96" s="182">
        <v>87419</v>
      </c>
      <c r="S96" s="182">
        <v>60575</v>
      </c>
      <c r="T96" s="182">
        <v>41894</v>
      </c>
      <c r="U96" s="412">
        <v>0.69160544779199296</v>
      </c>
    </row>
    <row r="97" spans="16:21">
      <c r="P97" s="182">
        <v>284631</v>
      </c>
      <c r="Q97" s="182">
        <v>273426</v>
      </c>
      <c r="R97" s="182">
        <v>87419</v>
      </c>
      <c r="S97" s="182">
        <v>60575</v>
      </c>
      <c r="T97" s="182">
        <v>41894</v>
      </c>
      <c r="U97" s="412">
        <v>0.69160544779199296</v>
      </c>
    </row>
  </sheetData>
  <mergeCells count="9">
    <mergeCell ref="A1:M1"/>
    <mergeCell ref="L2:M2"/>
    <mergeCell ref="A3:A4"/>
    <mergeCell ref="B3:E3"/>
    <mergeCell ref="F3:H3"/>
    <mergeCell ref="I3:J3"/>
    <mergeCell ref="K3:K4"/>
    <mergeCell ref="L3:L4"/>
    <mergeCell ref="M3:M4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V47"/>
  <sheetViews>
    <sheetView topLeftCell="D1" workbookViewId="0">
      <selection activeCell="T4" sqref="T4:U43"/>
    </sheetView>
  </sheetViews>
  <sheetFormatPr defaultRowHeight="16.5"/>
  <cols>
    <col min="1" max="1" width="10.25" style="1" customWidth="1"/>
    <col min="2" max="3" width="10.25" style="1" hidden="1" customWidth="1"/>
    <col min="4" max="4" width="10.25" style="1" customWidth="1"/>
    <col min="5" max="5" width="7.5" style="114" customWidth="1"/>
    <col min="6" max="7" width="10.25" style="1" hidden="1" customWidth="1"/>
    <col min="8" max="8" width="16.625" style="1" customWidth="1"/>
    <col min="9" max="9" width="7.375" style="114" customWidth="1"/>
    <col min="10" max="11" width="10.25" style="1" hidden="1" customWidth="1"/>
    <col min="12" max="12" width="12.25" style="1" customWidth="1"/>
    <col min="13" max="13" width="7.125" style="1" customWidth="1"/>
    <col min="14" max="15" width="10.25" style="1" hidden="1" customWidth="1"/>
    <col min="16" max="16" width="12.125" style="1" customWidth="1"/>
    <col min="17" max="19" width="10.25" style="1" customWidth="1"/>
    <col min="20" max="20" width="18.875" style="1" customWidth="1"/>
    <col min="21" max="21" width="20.25" style="1" customWidth="1"/>
    <col min="22" max="16384" width="9" style="1"/>
  </cols>
  <sheetData>
    <row r="1" spans="1:21" ht="17.25" thickBot="1"/>
    <row r="2" spans="1:21" ht="37.5" customHeight="1">
      <c r="A2" s="576" t="s">
        <v>83</v>
      </c>
      <c r="B2" s="566" t="s">
        <v>246</v>
      </c>
      <c r="C2" s="568"/>
      <c r="D2" s="568"/>
      <c r="E2" s="568" t="s">
        <v>234</v>
      </c>
      <c r="F2" s="566" t="s">
        <v>245</v>
      </c>
      <c r="G2" s="568"/>
      <c r="H2" s="568"/>
      <c r="I2" s="568" t="s">
        <v>234</v>
      </c>
      <c r="J2" s="568" t="s">
        <v>236</v>
      </c>
      <c r="K2" s="568"/>
      <c r="L2" s="568"/>
      <c r="M2" s="568" t="s">
        <v>234</v>
      </c>
      <c r="N2" s="568" t="s">
        <v>237</v>
      </c>
      <c r="O2" s="568"/>
      <c r="P2" s="568"/>
      <c r="Q2" s="568" t="s">
        <v>234</v>
      </c>
      <c r="R2" s="566" t="s">
        <v>238</v>
      </c>
      <c r="S2" s="451"/>
      <c r="T2" s="562" t="s">
        <v>239</v>
      </c>
      <c r="U2" s="564" t="s">
        <v>240</v>
      </c>
    </row>
    <row r="3" spans="1:21">
      <c r="A3" s="577"/>
      <c r="B3" s="442" t="s">
        <v>230</v>
      </c>
      <c r="C3" s="442" t="s">
        <v>231</v>
      </c>
      <c r="D3" s="442" t="s">
        <v>232</v>
      </c>
      <c r="E3" s="567"/>
      <c r="F3" s="442" t="s">
        <v>230</v>
      </c>
      <c r="G3" s="442" t="s">
        <v>231</v>
      </c>
      <c r="H3" s="442" t="s">
        <v>232</v>
      </c>
      <c r="I3" s="567"/>
      <c r="J3" s="442" t="s">
        <v>230</v>
      </c>
      <c r="K3" s="442" t="s">
        <v>231</v>
      </c>
      <c r="L3" s="442" t="s">
        <v>232</v>
      </c>
      <c r="M3" s="567"/>
      <c r="N3" s="442" t="s">
        <v>230</v>
      </c>
      <c r="O3" s="442" t="s">
        <v>231</v>
      </c>
      <c r="P3" s="442" t="s">
        <v>232</v>
      </c>
      <c r="Q3" s="567"/>
      <c r="R3" s="567"/>
      <c r="S3" s="442"/>
      <c r="T3" s="563"/>
      <c r="U3" s="565"/>
    </row>
    <row r="4" spans="1:21">
      <c r="A4" s="132" t="s">
        <v>40</v>
      </c>
      <c r="B4" s="443">
        <f>VLOOKUP(A4,총수신고!$C$6:$I$45,2,FALSE)</f>
        <v>676977</v>
      </c>
      <c r="C4" s="443">
        <f>VLOOKUP(A4,총수신고!$C$6:$I$45,4,FALSE)</f>
        <v>804658.43486699997</v>
      </c>
      <c r="D4" s="444">
        <f t="shared" ref="D4:D43" si="0">(C4/B4)*100</f>
        <v>118.86052773831311</v>
      </c>
      <c r="E4" s="445">
        <f t="shared" ref="E4:E44" si="1">D4*10/MAX($D$4:$D$44)</f>
        <v>10</v>
      </c>
      <c r="F4" s="446">
        <f>VLOOKUP(A4,총수신고!$M$6:$U$45,2,FALSE)</f>
        <v>70406</v>
      </c>
      <c r="G4" s="446">
        <f>VLOOKUP(A4,총수신고!$M$6:$U$45,4,FALSE)</f>
        <v>78883.320808999997</v>
      </c>
      <c r="H4" s="444">
        <f t="shared" ref="H4:H43" si="2">(G4/F4)*100</f>
        <v>112.04062268698689</v>
      </c>
      <c r="I4" s="445">
        <f t="shared" ref="I4:I43" si="3">H4*40/MAX($H$4:$H$44)</f>
        <v>40</v>
      </c>
      <c r="J4" s="446">
        <f>VLOOKUP(A4,체크카드!$A$5:$D$44,2,FALSE)</f>
        <v>169310</v>
      </c>
      <c r="K4" s="446">
        <f>VLOOKUP(A4,체크카드!$A$5:$D$44,3,FALSE)</f>
        <v>92933.096999999994</v>
      </c>
      <c r="L4" s="444">
        <f t="shared" ref="L4:L43" si="4">(K4/J4)*100</f>
        <v>54.889313684956583</v>
      </c>
      <c r="M4" s="447">
        <f t="shared" ref="M4:M43" si="5">L4*30/MAX($L$4:$L$44)</f>
        <v>22.126309107821115</v>
      </c>
      <c r="N4" s="446">
        <f>VLOOKUP(A4,스마트금융!$A$5:$D$45,2,FALSE)</f>
        <v>7629</v>
      </c>
      <c r="O4" s="446">
        <f>VLOOKUP(A4,스마트금융!$A$5:$D$45,3,FALSE)</f>
        <v>7392</v>
      </c>
      <c r="P4" s="444">
        <f t="shared" ref="P4:P43" si="6">(O4/N4)*100</f>
        <v>96.893432953204865</v>
      </c>
      <c r="Q4" s="447">
        <f t="shared" ref="Q4:Q43" si="7">P4*20/MAX($P$4:$P$44)</f>
        <v>19.040531030969603</v>
      </c>
      <c r="R4" s="448">
        <f t="shared" ref="R4:R43" si="8">SUM(E4,I4,M4,Q4)</f>
        <v>91.166840138790718</v>
      </c>
      <c r="S4" s="449">
        <f t="shared" ref="S4:S43" si="9">RANK(R4,$R$4:$R$44)</f>
        <v>1</v>
      </c>
      <c r="T4" s="450">
        <f>VLOOKUP(S4,Sheet8!$A$3:$B$42,2,FALSE)</f>
        <v>11000</v>
      </c>
      <c r="U4" s="452">
        <f>VLOOKUP(S4,Sheet8!A3:C42,3,FALSE)</f>
        <v>7000</v>
      </c>
    </row>
    <row r="5" spans="1:21">
      <c r="A5" s="132" t="s">
        <v>28</v>
      </c>
      <c r="B5" s="443">
        <f>VLOOKUP(A5,총수신고!$C$6:$I$45,2,FALSE)</f>
        <v>317089</v>
      </c>
      <c r="C5" s="443">
        <f>VLOOKUP(A5,총수신고!$C$6:$I$45,4,FALSE)</f>
        <v>331940.03623899998</v>
      </c>
      <c r="D5" s="444">
        <f t="shared" si="0"/>
        <v>104.68355453484668</v>
      </c>
      <c r="E5" s="445">
        <f t="shared" si="1"/>
        <v>8.8072597797412726</v>
      </c>
      <c r="F5" s="446">
        <f>VLOOKUP(A5,총수신고!$M$6:$U$45,2,FALSE)</f>
        <v>73235</v>
      </c>
      <c r="G5" s="446">
        <f>VLOOKUP(A5,총수신고!$M$6:$U$45,4,FALSE)</f>
        <v>68177.165401999999</v>
      </c>
      <c r="H5" s="444">
        <f t="shared" si="2"/>
        <v>93.09369208984775</v>
      </c>
      <c r="I5" s="445">
        <f t="shared" si="3"/>
        <v>33.23569250411181</v>
      </c>
      <c r="J5" s="446">
        <f>VLOOKUP(A5,체크카드!$A$5:$D$44,2,FALSE)</f>
        <v>302599</v>
      </c>
      <c r="K5" s="446">
        <f>VLOOKUP(A5,체크카드!$A$5:$D$44,3,FALSE)</f>
        <v>225199.576</v>
      </c>
      <c r="L5" s="444">
        <f t="shared" si="4"/>
        <v>74.42178460602976</v>
      </c>
      <c r="M5" s="447">
        <f t="shared" si="5"/>
        <v>29.999999999999996</v>
      </c>
      <c r="N5" s="446">
        <f>VLOOKUP(A5,스마트금융!$A$5:$D$45,2,FALSE)</f>
        <v>10583</v>
      </c>
      <c r="O5" s="446">
        <f>VLOOKUP(A5,스마트금융!$A$5:$D$45,3,FALSE)</f>
        <v>10145</v>
      </c>
      <c r="P5" s="444">
        <f t="shared" si="6"/>
        <v>95.861286969668342</v>
      </c>
      <c r="Q5" s="447">
        <f t="shared" si="7"/>
        <v>18.83770399688661</v>
      </c>
      <c r="R5" s="448">
        <f t="shared" si="8"/>
        <v>90.880656280739686</v>
      </c>
      <c r="S5" s="449">
        <f t="shared" si="9"/>
        <v>2</v>
      </c>
      <c r="T5" s="450">
        <f>VLOOKUP(S5,Sheet8!$A$3:$B$42,2,FALSE)</f>
        <v>11000</v>
      </c>
      <c r="U5" s="452">
        <f>VLOOKUP(S5,Sheet8!A4:C43,3,FALSE)</f>
        <v>7000</v>
      </c>
    </row>
    <row r="6" spans="1:21">
      <c r="A6" s="132" t="s">
        <v>47</v>
      </c>
      <c r="B6" s="443">
        <f>VLOOKUP(A6,총수신고!$C$6:$I$45,2,FALSE)</f>
        <v>288449</v>
      </c>
      <c r="C6" s="443">
        <f>VLOOKUP(A6,총수신고!$C$6:$I$45,4,FALSE)</f>
        <v>304217.31595399999</v>
      </c>
      <c r="D6" s="444">
        <f t="shared" si="0"/>
        <v>105.46658714504122</v>
      </c>
      <c r="E6" s="445">
        <f t="shared" si="1"/>
        <v>8.8731380511148004</v>
      </c>
      <c r="F6" s="446">
        <f>VLOOKUP(A6,총수신고!$M$6:$U$45,2,FALSE)</f>
        <v>35050</v>
      </c>
      <c r="G6" s="446">
        <f>VLOOKUP(A6,총수신고!$M$6:$U$45,4,FALSE)</f>
        <v>38254.644263000002</v>
      </c>
      <c r="H6" s="444">
        <f t="shared" si="2"/>
        <v>109.14306494436521</v>
      </c>
      <c r="I6" s="445">
        <f t="shared" si="3"/>
        <v>38.965533152839846</v>
      </c>
      <c r="J6" s="446">
        <f>VLOOKUP(A6,체크카드!$A$5:$D$44,2,FALSE)</f>
        <v>137370</v>
      </c>
      <c r="K6" s="446">
        <f>VLOOKUP(A6,체크카드!$A$5:$D$44,3,FALSE)</f>
        <v>68225.402000000002</v>
      </c>
      <c r="L6" s="444">
        <f t="shared" si="4"/>
        <v>49.665430588920437</v>
      </c>
      <c r="M6" s="447">
        <f t="shared" si="5"/>
        <v>20.020521216403271</v>
      </c>
      <c r="N6" s="446">
        <f>VLOOKUP(A6,스마트금융!$A$5:$D$45,2,FALSE)</f>
        <v>7267</v>
      </c>
      <c r="O6" s="446">
        <f>VLOOKUP(A6,스마트금융!$A$5:$D$45,3,FALSE)</f>
        <v>7164</v>
      </c>
      <c r="P6" s="444">
        <f t="shared" si="6"/>
        <v>98.582633824136508</v>
      </c>
      <c r="Q6" s="447">
        <f t="shared" si="7"/>
        <v>19.37247593807232</v>
      </c>
      <c r="R6" s="448">
        <f t="shared" si="8"/>
        <v>87.231668358430227</v>
      </c>
      <c r="S6" s="449">
        <f t="shared" si="9"/>
        <v>3</v>
      </c>
      <c r="T6" s="450">
        <f>VLOOKUP(S6,Sheet8!$A$3:$B$42,2,FALSE)</f>
        <v>11000</v>
      </c>
      <c r="U6" s="452">
        <f>VLOOKUP(S6,Sheet8!A5:C44,3,FALSE)</f>
        <v>7000</v>
      </c>
    </row>
    <row r="7" spans="1:21">
      <c r="A7" s="132" t="s">
        <v>46</v>
      </c>
      <c r="B7" s="443">
        <f>VLOOKUP(A7,총수신고!$C$6:$I$45,2,FALSE)</f>
        <v>215956</v>
      </c>
      <c r="C7" s="443">
        <f>VLOOKUP(A7,총수신고!$C$6:$I$45,4,FALSE)</f>
        <v>226206.78490999999</v>
      </c>
      <c r="D7" s="444">
        <f t="shared" si="0"/>
        <v>104.74670067513752</v>
      </c>
      <c r="E7" s="445">
        <f t="shared" si="1"/>
        <v>8.8125724046717178</v>
      </c>
      <c r="F7" s="446">
        <f>VLOOKUP(A7,총수신고!$M$6:$U$45,2,FALSE)</f>
        <v>47487</v>
      </c>
      <c r="G7" s="446">
        <f>VLOOKUP(A7,총수신고!$M$6:$U$45,4,FALSE)</f>
        <v>45117.917862000002</v>
      </c>
      <c r="H7" s="444">
        <f t="shared" si="2"/>
        <v>95.011093271842824</v>
      </c>
      <c r="I7" s="445">
        <f t="shared" si="3"/>
        <v>33.920230356905364</v>
      </c>
      <c r="J7" s="446">
        <f>VLOOKUP(A7,체크카드!$A$5:$D$44,2,FALSE)</f>
        <v>146150</v>
      </c>
      <c r="K7" s="446">
        <f>VLOOKUP(A7,체크카드!$A$5:$D$44,3,FALSE)</f>
        <v>88721.324999999997</v>
      </c>
      <c r="L7" s="444">
        <f t="shared" si="4"/>
        <v>60.705661991105032</v>
      </c>
      <c r="M7" s="447">
        <f t="shared" si="5"/>
        <v>24.470924331819869</v>
      </c>
      <c r="N7" s="446">
        <f>VLOOKUP(A7,스마트금융!$A$5:$D$45,2,FALSE)</f>
        <v>6595</v>
      </c>
      <c r="O7" s="446">
        <f>VLOOKUP(A7,스마트금융!$A$5:$D$45,3,FALSE)</f>
        <v>6570</v>
      </c>
      <c r="P7" s="444">
        <f t="shared" si="6"/>
        <v>99.620924943138746</v>
      </c>
      <c r="Q7" s="447">
        <f t="shared" si="7"/>
        <v>19.576510552885583</v>
      </c>
      <c r="R7" s="448">
        <f t="shared" si="8"/>
        <v>86.780237646282529</v>
      </c>
      <c r="S7" s="449">
        <f t="shared" si="9"/>
        <v>4</v>
      </c>
      <c r="T7" s="450">
        <f>VLOOKUP(S7,Sheet8!$A$3:$B$42,2,FALSE)</f>
        <v>11000</v>
      </c>
      <c r="U7" s="452">
        <f>VLOOKUP(S7,Sheet8!A6:C45,3,FALSE)</f>
        <v>7000</v>
      </c>
    </row>
    <row r="8" spans="1:21">
      <c r="A8" s="132" t="s">
        <v>87</v>
      </c>
      <c r="B8" s="443">
        <f>VLOOKUP(A8,총수신고!$C$6:$I$45,2,FALSE)</f>
        <v>352943</v>
      </c>
      <c r="C8" s="443">
        <f>VLOOKUP(A8,총수신고!$C$6:$I$45,4,FALSE)</f>
        <v>369263.31683700002</v>
      </c>
      <c r="D8" s="444">
        <f t="shared" si="0"/>
        <v>104.6240658794763</v>
      </c>
      <c r="E8" s="445">
        <f t="shared" si="1"/>
        <v>8.8022548671346783</v>
      </c>
      <c r="F8" s="446">
        <f>VLOOKUP(A8,총수신고!$M$6:$U$45,2,FALSE)</f>
        <v>68028</v>
      </c>
      <c r="G8" s="446">
        <f>VLOOKUP(A8,총수신고!$M$6:$U$45,4,FALSE)</f>
        <v>71589.543223000001</v>
      </c>
      <c r="H8" s="444">
        <f t="shared" si="2"/>
        <v>105.23540780707943</v>
      </c>
      <c r="I8" s="445">
        <f t="shared" si="3"/>
        <v>37.570447319301493</v>
      </c>
      <c r="J8" s="446">
        <f>VLOOKUP(A8,체크카드!$A$5:$D$44,2,FALSE)</f>
        <v>243728</v>
      </c>
      <c r="K8" s="446">
        <f>VLOOKUP(A8,체크카드!$A$5:$D$44,3,FALSE)</f>
        <v>126301.715</v>
      </c>
      <c r="L8" s="444">
        <f t="shared" si="4"/>
        <v>51.820765361386464</v>
      </c>
      <c r="M8" s="447">
        <f t="shared" si="5"/>
        <v>20.889353420794428</v>
      </c>
      <c r="N8" s="446">
        <f>VLOOKUP(A8,스마트금융!$A$5:$D$45,2,FALSE)</f>
        <v>10330</v>
      </c>
      <c r="O8" s="446">
        <f>VLOOKUP(A8,스마트금융!$A$5:$D$45,3,FALSE)</f>
        <v>10222</v>
      </c>
      <c r="P8" s="444">
        <f t="shared" si="6"/>
        <v>98.954501452081317</v>
      </c>
      <c r="Q8" s="447">
        <f t="shared" si="7"/>
        <v>19.445551655316393</v>
      </c>
      <c r="R8" s="448">
        <f t="shared" si="8"/>
        <v>86.707607262546986</v>
      </c>
      <c r="S8" s="449">
        <f t="shared" si="9"/>
        <v>5</v>
      </c>
      <c r="T8" s="450">
        <f>VLOOKUP(S8,Sheet8!$A$3:$B$42,2,FALSE)</f>
        <v>11000</v>
      </c>
      <c r="U8" s="452">
        <f>VLOOKUP(S8,Sheet8!A7:C46,3,FALSE)</f>
        <v>7000</v>
      </c>
    </row>
    <row r="9" spans="1:21">
      <c r="A9" s="132" t="s">
        <v>43</v>
      </c>
      <c r="B9" s="443">
        <f>VLOOKUP(A9,총수신고!$C$6:$I$45,2,FALSE)</f>
        <v>294194</v>
      </c>
      <c r="C9" s="443">
        <f>VLOOKUP(A9,총수신고!$C$6:$I$45,4,FALSE)</f>
        <v>318628.69283399999</v>
      </c>
      <c r="D9" s="444">
        <f t="shared" si="0"/>
        <v>108.30563941956667</v>
      </c>
      <c r="E9" s="445">
        <f t="shared" si="1"/>
        <v>9.1119938200186699</v>
      </c>
      <c r="F9" s="446">
        <f>VLOOKUP(A9,총수신고!$M$6:$U$45,2,FALSE)</f>
        <v>50574</v>
      </c>
      <c r="G9" s="446">
        <f>VLOOKUP(A9,총수신고!$M$6:$U$45,4,FALSE)</f>
        <v>54749.740362999997</v>
      </c>
      <c r="H9" s="444">
        <f t="shared" si="2"/>
        <v>108.25669388025467</v>
      </c>
      <c r="I9" s="445">
        <f t="shared" si="3"/>
        <v>38.64908683440521</v>
      </c>
      <c r="J9" s="446">
        <f>VLOOKUP(A9,체크카드!$A$5:$D$44,2,FALSE)</f>
        <v>210662</v>
      </c>
      <c r="K9" s="446">
        <f>VLOOKUP(A9,체크카드!$A$5:$D$44,3,FALSE)</f>
        <v>103312.95299999999</v>
      </c>
      <c r="L9" s="444">
        <f t="shared" si="4"/>
        <v>49.042045076947907</v>
      </c>
      <c r="M9" s="447">
        <f t="shared" si="5"/>
        <v>19.769229669738845</v>
      </c>
      <c r="N9" s="446">
        <f>VLOOKUP(A9,스마트금융!$A$5:$D$45,2,FALSE)</f>
        <v>8647</v>
      </c>
      <c r="O9" s="446">
        <f>VLOOKUP(A9,스마트금융!$A$5:$D$45,3,FALSE)</f>
        <v>8421</v>
      </c>
      <c r="P9" s="444">
        <f t="shared" si="6"/>
        <v>97.386376778073327</v>
      </c>
      <c r="Q9" s="447">
        <f t="shared" si="7"/>
        <v>19.137399434821759</v>
      </c>
      <c r="R9" s="448">
        <f t="shared" si="8"/>
        <v>86.667709758984486</v>
      </c>
      <c r="S9" s="449">
        <f t="shared" si="9"/>
        <v>6</v>
      </c>
      <c r="T9" s="450">
        <f>VLOOKUP(S9,Sheet8!$A$3:$B$42,2,FALSE)</f>
        <v>10400</v>
      </c>
      <c r="U9" s="452">
        <f>VLOOKUP(S9,Sheet8!A8:C47,3,FALSE)</f>
        <v>6500</v>
      </c>
    </row>
    <row r="10" spans="1:21">
      <c r="A10" s="132" t="s">
        <v>88</v>
      </c>
      <c r="B10" s="443">
        <f>VLOOKUP(A10,총수신고!$C$6:$I$45,2,FALSE)</f>
        <v>281761</v>
      </c>
      <c r="C10" s="443">
        <f>VLOOKUP(A10,총수신고!$C$6:$I$45,4,FALSE)</f>
        <v>303655.90121400001</v>
      </c>
      <c r="D10" s="444">
        <f t="shared" si="0"/>
        <v>107.77073520252981</v>
      </c>
      <c r="E10" s="445">
        <f t="shared" si="1"/>
        <v>9.0669911410624948</v>
      </c>
      <c r="F10" s="446">
        <f>VLOOKUP(A10,총수신고!$M$6:$U$45,2,FALSE)</f>
        <v>56604</v>
      </c>
      <c r="G10" s="446">
        <f>VLOOKUP(A10,총수신고!$M$6:$U$45,4,FALSE)</f>
        <v>57791.652378999999</v>
      </c>
      <c r="H10" s="444">
        <f t="shared" si="2"/>
        <v>102.09817747685676</v>
      </c>
      <c r="I10" s="445">
        <f t="shared" si="3"/>
        <v>36.450414154549357</v>
      </c>
      <c r="J10" s="446">
        <f>VLOOKUP(A10,체크카드!$A$5:$D$44,2,FALSE)</f>
        <v>190112</v>
      </c>
      <c r="K10" s="446">
        <f>VLOOKUP(A10,체크카드!$A$5:$D$44,3,FALSE)</f>
        <v>102677.7</v>
      </c>
      <c r="L10" s="444">
        <f t="shared" si="4"/>
        <v>54.009057818549067</v>
      </c>
      <c r="M10" s="447">
        <f t="shared" si="5"/>
        <v>21.771471124130976</v>
      </c>
      <c r="N10" s="446">
        <f>VLOOKUP(A10,스마트금융!$A$5:$D$45,2,FALSE)</f>
        <v>9146</v>
      </c>
      <c r="O10" s="446">
        <f>VLOOKUP(A10,스마트금융!$A$5:$D$45,3,FALSE)</f>
        <v>9010</v>
      </c>
      <c r="P10" s="444">
        <f t="shared" si="6"/>
        <v>98.513011152416354</v>
      </c>
      <c r="Q10" s="447">
        <f t="shared" si="7"/>
        <v>19.358794385040888</v>
      </c>
      <c r="R10" s="448">
        <f t="shared" si="8"/>
        <v>86.647670804783701</v>
      </c>
      <c r="S10" s="449">
        <f t="shared" si="9"/>
        <v>7</v>
      </c>
      <c r="T10" s="450">
        <f>VLOOKUP(S10,Sheet8!$A$3:$B$42,2,FALSE)</f>
        <v>10400</v>
      </c>
      <c r="U10" s="452">
        <f>VLOOKUP(S10,Sheet8!A9:C48,3,FALSE)</f>
        <v>6500</v>
      </c>
    </row>
    <row r="11" spans="1:21">
      <c r="A11" s="132" t="s">
        <v>42</v>
      </c>
      <c r="B11" s="443">
        <f>VLOOKUP(A11,총수신고!$C$6:$I$45,2,FALSE)</f>
        <v>311482</v>
      </c>
      <c r="C11" s="443">
        <f>VLOOKUP(A11,총수신고!$C$6:$I$45,4,FALSE)</f>
        <v>330344.58960399998</v>
      </c>
      <c r="D11" s="444">
        <f t="shared" si="0"/>
        <v>106.05575590371193</v>
      </c>
      <c r="E11" s="445">
        <f t="shared" si="1"/>
        <v>8.9227061263944112</v>
      </c>
      <c r="F11" s="446">
        <f>VLOOKUP(A11,총수신고!$M$6:$U$45,2,FALSE)</f>
        <v>88189</v>
      </c>
      <c r="G11" s="446">
        <f>VLOOKUP(A11,총수신고!$M$6:$U$45,4,FALSE)</f>
        <v>87545.718449000007</v>
      </c>
      <c r="H11" s="444">
        <f t="shared" si="2"/>
        <v>99.270564865232629</v>
      </c>
      <c r="I11" s="445">
        <f t="shared" si="3"/>
        <v>35.440918654145449</v>
      </c>
      <c r="J11" s="446">
        <f>VLOOKUP(A11,체크카드!$A$5:$D$44,2,FALSE)</f>
        <v>492000</v>
      </c>
      <c r="K11" s="446">
        <f>VLOOKUP(A11,체크카드!$A$5:$D$44,3,FALSE)</f>
        <v>284854.92700000003</v>
      </c>
      <c r="L11" s="444">
        <f t="shared" si="4"/>
        <v>57.897342886178869</v>
      </c>
      <c r="M11" s="447">
        <f t="shared" si="5"/>
        <v>23.338869066096517</v>
      </c>
      <c r="N11" s="446">
        <f>VLOOKUP(A11,스마트금융!$A$5:$D$45,2,FALSE)</f>
        <v>14498</v>
      </c>
      <c r="O11" s="446">
        <f>VLOOKUP(A11,스마트금융!$A$5:$D$45,3,FALSE)</f>
        <v>13966</v>
      </c>
      <c r="P11" s="444">
        <f t="shared" si="6"/>
        <v>96.330528348737758</v>
      </c>
      <c r="Q11" s="447">
        <f t="shared" si="7"/>
        <v>18.929914632498015</v>
      </c>
      <c r="R11" s="448">
        <f t="shared" si="8"/>
        <v>86.632408479134384</v>
      </c>
      <c r="S11" s="449">
        <f t="shared" si="9"/>
        <v>8</v>
      </c>
      <c r="T11" s="450">
        <f>VLOOKUP(S11,Sheet8!$A$3:$B$42,2,FALSE)</f>
        <v>10400</v>
      </c>
      <c r="U11" s="452">
        <f>VLOOKUP(S11,Sheet8!A10:C49,3,FALSE)</f>
        <v>6500</v>
      </c>
    </row>
    <row r="12" spans="1:21">
      <c r="A12" s="132" t="s">
        <v>31</v>
      </c>
      <c r="B12" s="443">
        <f>VLOOKUP(A12,총수신고!$C$6:$I$45,2,FALSE)</f>
        <v>451356</v>
      </c>
      <c r="C12" s="443">
        <f>VLOOKUP(A12,총수신고!$C$6:$I$45,4,FALSE)</f>
        <v>473815.45544799999</v>
      </c>
      <c r="D12" s="444">
        <f t="shared" si="0"/>
        <v>104.97599576564841</v>
      </c>
      <c r="E12" s="445">
        <f t="shared" si="1"/>
        <v>8.8318635095383957</v>
      </c>
      <c r="F12" s="446">
        <f>VLOOKUP(A12,총수신고!$M$6:$U$45,2,FALSE)</f>
        <v>119184</v>
      </c>
      <c r="G12" s="446">
        <f>VLOOKUP(A12,총수신고!$M$6:$U$45,4,FALSE)</f>
        <v>127936.348378</v>
      </c>
      <c r="H12" s="444">
        <f t="shared" si="2"/>
        <v>107.34355985534971</v>
      </c>
      <c r="I12" s="445">
        <f t="shared" si="3"/>
        <v>38.323085781213628</v>
      </c>
      <c r="J12" s="446">
        <f>VLOOKUP(A12,체크카드!$A$5:$D$44,2,FALSE)</f>
        <v>471032</v>
      </c>
      <c r="K12" s="446">
        <f>VLOOKUP(A12,체크카드!$A$5:$D$44,3,FALSE)</f>
        <v>237153.94399999999</v>
      </c>
      <c r="L12" s="444">
        <f t="shared" si="4"/>
        <v>50.34773518571987</v>
      </c>
      <c r="M12" s="447">
        <f t="shared" si="5"/>
        <v>20.295563504254083</v>
      </c>
      <c r="N12" s="446">
        <f>VLOOKUP(A12,스마트금융!$A$5:$D$45,2,FALSE)</f>
        <v>17231</v>
      </c>
      <c r="O12" s="446">
        <f>VLOOKUP(A12,스마트금융!$A$5:$D$45,3,FALSE)</f>
        <v>16819</v>
      </c>
      <c r="P12" s="444">
        <f t="shared" si="6"/>
        <v>97.608960594277761</v>
      </c>
      <c r="Q12" s="447">
        <f t="shared" si="7"/>
        <v>19.181139386336106</v>
      </c>
      <c r="R12" s="448">
        <f t="shared" si="8"/>
        <v>86.631652181342218</v>
      </c>
      <c r="S12" s="449">
        <f t="shared" si="9"/>
        <v>9</v>
      </c>
      <c r="T12" s="450">
        <f>VLOOKUP(S12,Sheet8!$A$3:$B$42,2,FALSE)</f>
        <v>10400</v>
      </c>
      <c r="U12" s="452">
        <f>VLOOKUP(S12,Sheet8!A11:C50,3,FALSE)</f>
        <v>6500</v>
      </c>
    </row>
    <row r="13" spans="1:21">
      <c r="A13" s="132" t="s">
        <v>105</v>
      </c>
      <c r="B13" s="443">
        <f>VLOOKUP(A13,총수신고!$C$6:$I$45,2,FALSE)</f>
        <v>33147</v>
      </c>
      <c r="C13" s="443">
        <f>VLOOKUP(A13,총수신고!$C$6:$I$45,4,FALSE)</f>
        <v>36338.038419999997</v>
      </c>
      <c r="D13" s="444">
        <f t="shared" si="0"/>
        <v>109.62692979756841</v>
      </c>
      <c r="E13" s="445">
        <f t="shared" si="1"/>
        <v>9.2231569120176164</v>
      </c>
      <c r="F13" s="446">
        <f>VLOOKUP(A13,총수신고!$M$6:$U$45,2,FALSE)</f>
        <v>7812</v>
      </c>
      <c r="G13" s="446">
        <f>VLOOKUP(A13,총수신고!$M$6:$U$45,4,FALSE)</f>
        <v>7582.5077940000001</v>
      </c>
      <c r="H13" s="444">
        <f t="shared" si="2"/>
        <v>97.06231175115208</v>
      </c>
      <c r="I13" s="445">
        <f t="shared" si="3"/>
        <v>34.652542773640086</v>
      </c>
      <c r="J13" s="446">
        <f>VLOOKUP(A13,체크카드!$A$5:$D$44,2,FALSE)</f>
        <v>36364</v>
      </c>
      <c r="K13" s="446">
        <f>VLOOKUP(A13,체크카드!$A$5:$D$44,3,FALSE)</f>
        <v>21143.591</v>
      </c>
      <c r="L13" s="444">
        <f t="shared" si="4"/>
        <v>58.144293807061928</v>
      </c>
      <c r="M13" s="447">
        <f t="shared" si="5"/>
        <v>23.438416902334399</v>
      </c>
      <c r="N13" s="446">
        <f>VLOOKUP(A13,스마트금융!$A$5:$D$45,2,FALSE)</f>
        <v>1064</v>
      </c>
      <c r="O13" s="446">
        <f>VLOOKUP(A13,스마트금융!$A$5:$D$45,3,FALSE)</f>
        <v>1025</v>
      </c>
      <c r="P13" s="444">
        <f t="shared" si="6"/>
        <v>96.334586466165419</v>
      </c>
      <c r="Q13" s="447">
        <f t="shared" si="7"/>
        <v>18.930712093259327</v>
      </c>
      <c r="R13" s="448">
        <f t="shared" si="8"/>
        <v>86.244828681251434</v>
      </c>
      <c r="S13" s="449">
        <f t="shared" si="9"/>
        <v>10</v>
      </c>
      <c r="T13" s="450">
        <f>VLOOKUP(S13,Sheet8!$A$3:$B$42,2,FALSE)</f>
        <v>10400</v>
      </c>
      <c r="U13" s="452">
        <f>VLOOKUP(S13,Sheet8!A12:C51,3,FALSE)</f>
        <v>6500</v>
      </c>
    </row>
    <row r="14" spans="1:21">
      <c r="A14" s="132" t="s">
        <v>89</v>
      </c>
      <c r="B14" s="443">
        <f>VLOOKUP(A14,총수신고!$C$6:$I$45,2,FALSE)</f>
        <v>114428</v>
      </c>
      <c r="C14" s="443">
        <f>VLOOKUP(A14,총수신고!$C$6:$I$45,4,FALSE)</f>
        <v>134420.75654199999</v>
      </c>
      <c r="D14" s="444">
        <f t="shared" si="0"/>
        <v>117.47190944698849</v>
      </c>
      <c r="E14" s="445">
        <f t="shared" si="1"/>
        <v>9.8831724612243157</v>
      </c>
      <c r="F14" s="446">
        <f>VLOOKUP(A14,총수신고!$M$6:$U$45,2,FALSE)</f>
        <v>32723</v>
      </c>
      <c r="G14" s="446">
        <f>VLOOKUP(A14,총수신고!$M$6:$U$45,4,FALSE)</f>
        <v>33797.532978000003</v>
      </c>
      <c r="H14" s="444">
        <f t="shared" si="2"/>
        <v>103.2837239189561</v>
      </c>
      <c r="I14" s="445">
        <f t="shared" si="3"/>
        <v>36.873670082146774</v>
      </c>
      <c r="J14" s="446">
        <f>VLOOKUP(A14,체크카드!$A$5:$D$44,2,FALSE)</f>
        <v>116544</v>
      </c>
      <c r="K14" s="446">
        <f>VLOOKUP(A14,체크카드!$A$5:$D$44,3,FALSE)</f>
        <v>58357.309000000001</v>
      </c>
      <c r="L14" s="444">
        <f t="shared" si="4"/>
        <v>50.073198963481602</v>
      </c>
      <c r="M14" s="447">
        <f t="shared" si="5"/>
        <v>20.18489581856571</v>
      </c>
      <c r="N14" s="446">
        <f>VLOOKUP(A14,스마트금융!$A$5:$D$45,2,FALSE)</f>
        <v>3319</v>
      </c>
      <c r="O14" s="446">
        <f>VLOOKUP(A14,스마트금융!$A$5:$D$45,3,FALSE)</f>
        <v>3226</v>
      </c>
      <c r="P14" s="444">
        <f t="shared" si="6"/>
        <v>97.197951190117507</v>
      </c>
      <c r="Q14" s="447">
        <f t="shared" si="7"/>
        <v>19.100371917629399</v>
      </c>
      <c r="R14" s="448">
        <f t="shared" si="8"/>
        <v>86.042110279566202</v>
      </c>
      <c r="S14" s="449">
        <f t="shared" si="9"/>
        <v>11</v>
      </c>
      <c r="T14" s="450">
        <f>VLOOKUP(S14,Sheet8!$A$3:$B$42,2,FALSE)</f>
        <v>9800</v>
      </c>
      <c r="U14" s="452">
        <f>VLOOKUP(S14,Sheet8!A13:C52,3,FALSE)</f>
        <v>6000</v>
      </c>
    </row>
    <row r="15" spans="1:21">
      <c r="A15" s="132" t="s">
        <v>97</v>
      </c>
      <c r="B15" s="443">
        <f>VLOOKUP(A15,총수신고!$C$6:$I$45,2,FALSE)</f>
        <v>111388</v>
      </c>
      <c r="C15" s="443">
        <f>VLOOKUP(A15,총수신고!$C$6:$I$45,4,FALSE)</f>
        <v>121517.554422</v>
      </c>
      <c r="D15" s="444">
        <f t="shared" si="0"/>
        <v>109.09393688907242</v>
      </c>
      <c r="E15" s="445">
        <f t="shared" si="1"/>
        <v>9.1783150356909804</v>
      </c>
      <c r="F15" s="446">
        <f>VLOOKUP(A15,총수신고!$M$6:$U$45,2,FALSE)</f>
        <v>30447</v>
      </c>
      <c r="G15" s="446">
        <f>VLOOKUP(A15,총수신고!$M$6:$U$45,4,FALSE)</f>
        <v>31292.439032999999</v>
      </c>
      <c r="H15" s="444">
        <f t="shared" si="2"/>
        <v>102.77675643905803</v>
      </c>
      <c r="I15" s="445">
        <f t="shared" si="3"/>
        <v>36.692675914945688</v>
      </c>
      <c r="J15" s="446">
        <f>VLOOKUP(A15,체크카드!$A$5:$D$44,2,FALSE)</f>
        <v>128698</v>
      </c>
      <c r="K15" s="446">
        <f>VLOOKUP(A15,체크카드!$A$5:$D$44,3,FALSE)</f>
        <v>67315.865999999995</v>
      </c>
      <c r="L15" s="444">
        <f t="shared" si="4"/>
        <v>52.305293011546404</v>
      </c>
      <c r="M15" s="447">
        <f t="shared" si="5"/>
        <v>21.084670283749908</v>
      </c>
      <c r="N15" s="446">
        <f>VLOOKUP(A15,스마트금융!$A$5:$D$45,2,FALSE)</f>
        <v>4102</v>
      </c>
      <c r="O15" s="446">
        <f>VLOOKUP(A15,스마트금융!$A$5:$D$45,3,FALSE)</f>
        <v>3980</v>
      </c>
      <c r="P15" s="444">
        <f t="shared" si="6"/>
        <v>97.025841053144816</v>
      </c>
      <c r="Q15" s="447">
        <f t="shared" si="7"/>
        <v>19.066550550134291</v>
      </c>
      <c r="R15" s="448">
        <f t="shared" si="8"/>
        <v>86.022211784520877</v>
      </c>
      <c r="S15" s="449">
        <f t="shared" si="9"/>
        <v>12</v>
      </c>
      <c r="T15" s="450">
        <f>VLOOKUP(S15,Sheet8!$A$3:$B$42,2,FALSE)</f>
        <v>9800</v>
      </c>
      <c r="U15" s="452">
        <f>VLOOKUP(S15,Sheet8!A14:C53,3,FALSE)</f>
        <v>6000</v>
      </c>
    </row>
    <row r="16" spans="1:21">
      <c r="A16" s="132" t="s">
        <v>53</v>
      </c>
      <c r="B16" s="443">
        <f>VLOOKUP(A16,총수신고!$C$6:$I$45,2,FALSE)</f>
        <v>146079</v>
      </c>
      <c r="C16" s="443">
        <f>VLOOKUP(A16,총수신고!$C$6:$I$45,4,FALSE)</f>
        <v>173211.80350000001</v>
      </c>
      <c r="D16" s="444">
        <f t="shared" si="0"/>
        <v>118.57406163788089</v>
      </c>
      <c r="E16" s="445">
        <f t="shared" si="1"/>
        <v>9.9758989711821808</v>
      </c>
      <c r="F16" s="446">
        <f>VLOOKUP(A16,총수신고!$M$6:$U$45,2,FALSE)</f>
        <v>37777</v>
      </c>
      <c r="G16" s="446">
        <f>VLOOKUP(A16,총수신고!$M$6:$U$45,4,FALSE)</f>
        <v>37174.971739000001</v>
      </c>
      <c r="H16" s="444">
        <f t="shared" si="2"/>
        <v>98.406362969531727</v>
      </c>
      <c r="I16" s="445">
        <f t="shared" si="3"/>
        <v>35.132387025178957</v>
      </c>
      <c r="J16" s="446">
        <f>VLOOKUP(A16,체크카드!$A$5:$D$44,2,FALSE)</f>
        <v>183175</v>
      </c>
      <c r="K16" s="446">
        <f>VLOOKUP(A16,체크카드!$A$5:$D$44,3,FALSE)</f>
        <v>94438.85</v>
      </c>
      <c r="L16" s="444">
        <f t="shared" si="4"/>
        <v>51.556626177152999</v>
      </c>
      <c r="M16" s="447">
        <f t="shared" si="5"/>
        <v>20.78287686196219</v>
      </c>
      <c r="N16" s="446">
        <f>VLOOKUP(A16,스마트금융!$A$5:$D$45,2,FALSE)</f>
        <v>5494</v>
      </c>
      <c r="O16" s="446">
        <f>VLOOKUP(A16,스마트금융!$A$5:$D$45,3,FALSE)</f>
        <v>5543</v>
      </c>
      <c r="P16" s="444">
        <f t="shared" si="6"/>
        <v>100.89188205314889</v>
      </c>
      <c r="Q16" s="447">
        <f t="shared" si="7"/>
        <v>19.826266367646188</v>
      </c>
      <c r="R16" s="448">
        <f t="shared" si="8"/>
        <v>85.717429225969511</v>
      </c>
      <c r="S16" s="449">
        <f t="shared" si="9"/>
        <v>13</v>
      </c>
      <c r="T16" s="450">
        <f>VLOOKUP(S16,Sheet8!$A$3:$B$42,2,FALSE)</f>
        <v>9800</v>
      </c>
      <c r="U16" s="452">
        <f>VLOOKUP(S16,Sheet8!A15:C54,3,FALSE)</f>
        <v>6000</v>
      </c>
    </row>
    <row r="17" spans="1:21">
      <c r="A17" s="132" t="s">
        <v>101</v>
      </c>
      <c r="B17" s="443">
        <f>VLOOKUP(A17,총수신고!$C$6:$I$45,2,FALSE)</f>
        <v>120659</v>
      </c>
      <c r="C17" s="443">
        <f>VLOOKUP(A17,총수신고!$C$6:$I$45,4,FALSE)</f>
        <v>126542.61062399999</v>
      </c>
      <c r="D17" s="444">
        <f t="shared" si="0"/>
        <v>104.87623022236218</v>
      </c>
      <c r="E17" s="445">
        <f t="shared" si="1"/>
        <v>8.8234700129601329</v>
      </c>
      <c r="F17" s="446">
        <f>VLOOKUP(A17,총수신고!$M$6:$U$45,2,FALSE)</f>
        <v>26497</v>
      </c>
      <c r="G17" s="446">
        <f>VLOOKUP(A17,총수신고!$M$6:$U$45,4,FALSE)</f>
        <v>26469.439880000002</v>
      </c>
      <c r="H17" s="444">
        <f t="shared" si="2"/>
        <v>99.895987772200641</v>
      </c>
      <c r="I17" s="445">
        <f t="shared" si="3"/>
        <v>35.664202992261018</v>
      </c>
      <c r="J17" s="446">
        <f>VLOOKUP(A17,체크카드!$A$5:$D$44,2,FALSE)</f>
        <v>101103</v>
      </c>
      <c r="K17" s="446">
        <f>VLOOKUP(A17,체크카드!$A$5:$D$44,3,FALSE)</f>
        <v>54237.673999999999</v>
      </c>
      <c r="L17" s="444">
        <f t="shared" si="4"/>
        <v>53.645959071441993</v>
      </c>
      <c r="M17" s="447">
        <f t="shared" si="5"/>
        <v>21.625103196099193</v>
      </c>
      <c r="N17" s="446">
        <f>VLOOKUP(A17,스마트금융!$A$5:$D$45,2,FALSE)</f>
        <v>3526</v>
      </c>
      <c r="O17" s="446">
        <f>VLOOKUP(A17,스마트금융!$A$5:$D$45,3,FALSE)</f>
        <v>3460</v>
      </c>
      <c r="P17" s="444">
        <f t="shared" si="6"/>
        <v>98.128190584231419</v>
      </c>
      <c r="Q17" s="447">
        <f t="shared" si="7"/>
        <v>19.28317328517317</v>
      </c>
      <c r="R17" s="448">
        <f t="shared" si="8"/>
        <v>85.395949486493521</v>
      </c>
      <c r="S17" s="449">
        <f t="shared" si="9"/>
        <v>14</v>
      </c>
      <c r="T17" s="450">
        <f>VLOOKUP(S17,Sheet8!$A$3:$B$42,2,FALSE)</f>
        <v>9800</v>
      </c>
      <c r="U17" s="452">
        <f>VLOOKUP(S17,Sheet8!A16:C55,3,FALSE)</f>
        <v>6000</v>
      </c>
    </row>
    <row r="18" spans="1:21">
      <c r="A18" s="132" t="s">
        <v>94</v>
      </c>
      <c r="B18" s="443">
        <f>VLOOKUP(A18,총수신고!$C$6:$I$45,2,FALSE)</f>
        <v>101621</v>
      </c>
      <c r="C18" s="443">
        <f>VLOOKUP(A18,총수신고!$C$6:$I$45,4,FALSE)</f>
        <v>104911.57534</v>
      </c>
      <c r="D18" s="444">
        <f t="shared" si="0"/>
        <v>103.2380859664833</v>
      </c>
      <c r="E18" s="445">
        <f t="shared" si="1"/>
        <v>8.6856493009836999</v>
      </c>
      <c r="F18" s="446">
        <f>VLOOKUP(A18,총수신고!$M$6:$U$45,2,FALSE)</f>
        <v>24369</v>
      </c>
      <c r="G18" s="446">
        <f>VLOOKUP(A18,총수신고!$M$6:$U$45,4,FALSE)</f>
        <v>24422.881001000002</v>
      </c>
      <c r="H18" s="444">
        <f t="shared" si="2"/>
        <v>100.22110468628176</v>
      </c>
      <c r="I18" s="445">
        <f t="shared" si="3"/>
        <v>35.780274076581719</v>
      </c>
      <c r="J18" s="446">
        <f>VLOOKUP(A18,체크카드!$A$5:$D$44,2,FALSE)</f>
        <v>123179</v>
      </c>
      <c r="K18" s="446">
        <f>VLOOKUP(A18,체크카드!$A$5:$D$44,3,FALSE)</f>
        <v>64331.936999999998</v>
      </c>
      <c r="L18" s="444">
        <f t="shared" si="4"/>
        <v>52.226383555638542</v>
      </c>
      <c r="M18" s="447">
        <f t="shared" si="5"/>
        <v>21.05286126855674</v>
      </c>
      <c r="N18" s="446">
        <f>VLOOKUP(A18,스마트금융!$A$5:$D$45,2,FALSE)</f>
        <v>3779</v>
      </c>
      <c r="O18" s="446">
        <f>VLOOKUP(A18,스마트금융!$A$5:$D$45,3,FALSE)</f>
        <v>3806</v>
      </c>
      <c r="P18" s="444">
        <f t="shared" si="6"/>
        <v>100.71447472876423</v>
      </c>
      <c r="Q18" s="447">
        <f t="shared" si="7"/>
        <v>19.791404049714913</v>
      </c>
      <c r="R18" s="448">
        <f t="shared" si="8"/>
        <v>85.31018869583707</v>
      </c>
      <c r="S18" s="449">
        <f t="shared" si="9"/>
        <v>15</v>
      </c>
      <c r="T18" s="450">
        <f>VLOOKUP(S18,Sheet8!$A$3:$B$42,2,FALSE)</f>
        <v>9800</v>
      </c>
      <c r="U18" s="452">
        <f>VLOOKUP(S18,Sheet8!A17:C56,3,FALSE)</f>
        <v>6000</v>
      </c>
    </row>
    <row r="19" spans="1:21">
      <c r="A19" s="132" t="s">
        <v>41</v>
      </c>
      <c r="B19" s="443">
        <f>VLOOKUP(A19,총수신고!$C$6:$I$45,2,FALSE)</f>
        <v>434890</v>
      </c>
      <c r="C19" s="443">
        <f>VLOOKUP(A19,총수신고!$C$6:$I$45,4,FALSE)</f>
        <v>461871.71724099998</v>
      </c>
      <c r="D19" s="444">
        <f t="shared" si="0"/>
        <v>106.20426251258938</v>
      </c>
      <c r="E19" s="445">
        <f t="shared" si="1"/>
        <v>8.9352003169977401</v>
      </c>
      <c r="F19" s="446">
        <f>VLOOKUP(A19,총수신고!$M$6:$U$45,2,FALSE)</f>
        <v>103016</v>
      </c>
      <c r="G19" s="446">
        <f>VLOOKUP(A19,총수신고!$M$6:$U$45,4,FALSE)</f>
        <v>105215.500635</v>
      </c>
      <c r="H19" s="444">
        <f t="shared" si="2"/>
        <v>102.13510584278171</v>
      </c>
      <c r="I19" s="445">
        <f t="shared" si="3"/>
        <v>36.463598074823743</v>
      </c>
      <c r="J19" s="446">
        <f>VLOOKUP(A19,체크카드!$A$5:$D$44,2,FALSE)</f>
        <v>375649</v>
      </c>
      <c r="K19" s="446">
        <f>VLOOKUP(A19,체크카드!$A$5:$D$44,3,FALSE)</f>
        <v>187597.43100000001</v>
      </c>
      <c r="L19" s="444">
        <f t="shared" si="4"/>
        <v>49.939552880481514</v>
      </c>
      <c r="M19" s="447">
        <f t="shared" si="5"/>
        <v>20.131022043417381</v>
      </c>
      <c r="N19" s="446">
        <f>VLOOKUP(A19,스마트금융!$A$5:$D$45,2,FALSE)</f>
        <v>15679</v>
      </c>
      <c r="O19" s="446">
        <f>VLOOKUP(A19,스마트금융!$A$5:$D$45,3,FALSE)</f>
        <v>15720</v>
      </c>
      <c r="P19" s="444">
        <f t="shared" si="6"/>
        <v>100.26149626889469</v>
      </c>
      <c r="Q19" s="447">
        <f t="shared" si="7"/>
        <v>19.702389240778665</v>
      </c>
      <c r="R19" s="448">
        <f t="shared" si="8"/>
        <v>85.232209676017533</v>
      </c>
      <c r="S19" s="449">
        <f t="shared" si="9"/>
        <v>16</v>
      </c>
      <c r="T19" s="450">
        <f>VLOOKUP(S19,Sheet8!$A$3:$B$42,2,FALSE)</f>
        <v>9200</v>
      </c>
      <c r="U19" s="452">
        <f>VLOOKUP(S19,Sheet8!A18:C57,3,FALSE)</f>
        <v>5500</v>
      </c>
    </row>
    <row r="20" spans="1:21">
      <c r="A20" s="132" t="s">
        <v>104</v>
      </c>
      <c r="B20" s="443">
        <f>VLOOKUP(A20,총수신고!$C$6:$I$45,2,FALSE)</f>
        <v>64326</v>
      </c>
      <c r="C20" s="443">
        <f>VLOOKUP(A20,총수신고!$C$6:$I$45,4,FALSE)</f>
        <v>68152.834631000005</v>
      </c>
      <c r="D20" s="444">
        <f t="shared" si="0"/>
        <v>105.94912575164008</v>
      </c>
      <c r="E20" s="445">
        <f t="shared" si="1"/>
        <v>8.913735095043565</v>
      </c>
      <c r="F20" s="446">
        <f>VLOOKUP(A20,총수신고!$M$6:$U$45,2,FALSE)</f>
        <v>18598</v>
      </c>
      <c r="G20" s="446">
        <f>VLOOKUP(A20,총수신고!$M$6:$U$45,4,FALSE)</f>
        <v>18511.132745999999</v>
      </c>
      <c r="H20" s="444">
        <f t="shared" si="2"/>
        <v>99.532921529196685</v>
      </c>
      <c r="I20" s="445">
        <f t="shared" si="3"/>
        <v>35.534583490227988</v>
      </c>
      <c r="J20" s="446">
        <f>VLOOKUP(A20,체크카드!$A$5:$D$44,2,FALSE)</f>
        <v>67040</v>
      </c>
      <c r="K20" s="446">
        <f>VLOOKUP(A20,체크카드!$A$5:$D$44,3,FALSE)</f>
        <v>35047.116999999998</v>
      </c>
      <c r="L20" s="444">
        <f t="shared" si="4"/>
        <v>52.277919152744623</v>
      </c>
      <c r="M20" s="447">
        <f t="shared" si="5"/>
        <v>21.073635668436655</v>
      </c>
      <c r="N20" s="446">
        <f>VLOOKUP(A20,스마트금융!$A$5:$D$45,2,FALSE)</f>
        <v>1815</v>
      </c>
      <c r="O20" s="446">
        <f>VLOOKUP(A20,스마트금융!$A$5:$D$45,3,FALSE)</f>
        <v>1804</v>
      </c>
      <c r="P20" s="444">
        <f t="shared" si="6"/>
        <v>99.393939393939391</v>
      </c>
      <c r="Q20" s="447">
        <f t="shared" si="7"/>
        <v>19.531905616705863</v>
      </c>
      <c r="R20" s="448">
        <f t="shared" si="8"/>
        <v>85.053859870414072</v>
      </c>
      <c r="S20" s="449">
        <f t="shared" si="9"/>
        <v>17</v>
      </c>
      <c r="T20" s="450">
        <f>VLOOKUP(S20,Sheet8!$A$3:$B$42,2,FALSE)</f>
        <v>9200</v>
      </c>
      <c r="U20" s="452">
        <f>VLOOKUP(S20,Sheet8!A19:C58,3,FALSE)</f>
        <v>5500</v>
      </c>
    </row>
    <row r="21" spans="1:21">
      <c r="A21" s="132" t="s">
        <v>96</v>
      </c>
      <c r="B21" s="443">
        <f>VLOOKUP(A21,총수신고!$C$6:$I$45,2,FALSE)</f>
        <v>110239</v>
      </c>
      <c r="C21" s="443">
        <f>VLOOKUP(A21,총수신고!$C$6:$I$45,4,FALSE)</f>
        <v>115107.26268299999</v>
      </c>
      <c r="D21" s="444">
        <f t="shared" si="0"/>
        <v>104.41609837081249</v>
      </c>
      <c r="E21" s="445">
        <f t="shared" si="1"/>
        <v>8.7847580990636427</v>
      </c>
      <c r="F21" s="446">
        <f>VLOOKUP(A21,총수신고!$M$6:$U$45,2,FALSE)</f>
        <v>35182</v>
      </c>
      <c r="G21" s="446">
        <f>VLOOKUP(A21,총수신고!$M$6:$U$45,4,FALSE)</f>
        <v>35981.229828000003</v>
      </c>
      <c r="H21" s="444">
        <f t="shared" si="2"/>
        <v>102.2717009493491</v>
      </c>
      <c r="I21" s="445">
        <f t="shared" si="3"/>
        <v>36.512364353800606</v>
      </c>
      <c r="J21" s="446">
        <f>VLOOKUP(A21,체크카드!$A$5:$D$44,2,FALSE)</f>
        <v>161446</v>
      </c>
      <c r="K21" s="446">
        <f>VLOOKUP(A21,체크카드!$A$5:$D$44,3,FALSE)</f>
        <v>80639.233999999997</v>
      </c>
      <c r="L21" s="444">
        <f t="shared" si="4"/>
        <v>49.948115159248289</v>
      </c>
      <c r="M21" s="447">
        <f t="shared" si="5"/>
        <v>20.134473564559517</v>
      </c>
      <c r="N21" s="446">
        <f>VLOOKUP(A21,스마트금융!$A$5:$D$45,2,FALSE)</f>
        <v>4406</v>
      </c>
      <c r="O21" s="446">
        <f>VLOOKUP(A21,스마트금융!$A$5:$D$45,3,FALSE)</f>
        <v>4348</v>
      </c>
      <c r="P21" s="444">
        <f t="shared" si="6"/>
        <v>98.683613254652741</v>
      </c>
      <c r="Q21" s="447">
        <f t="shared" si="7"/>
        <v>19.392319408590723</v>
      </c>
      <c r="R21" s="448">
        <f t="shared" si="8"/>
        <v>84.823915426014494</v>
      </c>
      <c r="S21" s="449">
        <f t="shared" si="9"/>
        <v>18</v>
      </c>
      <c r="T21" s="450">
        <f>VLOOKUP(S21,Sheet8!$A$3:$B$42,2,FALSE)</f>
        <v>9200</v>
      </c>
      <c r="U21" s="452">
        <f>VLOOKUP(S21,Sheet8!A20:C59,3,FALSE)</f>
        <v>5500</v>
      </c>
    </row>
    <row r="22" spans="1:21">
      <c r="A22" s="132" t="s">
        <v>52</v>
      </c>
      <c r="B22" s="443">
        <f>VLOOKUP(A22,총수신고!$C$6:$I$45,2,FALSE)</f>
        <v>168242</v>
      </c>
      <c r="C22" s="443">
        <f>VLOOKUP(A22,총수신고!$C$6:$I$45,4,FALSE)</f>
        <v>181474.42251999999</v>
      </c>
      <c r="D22" s="444">
        <f t="shared" si="0"/>
        <v>107.86511246894355</v>
      </c>
      <c r="E22" s="445">
        <f t="shared" si="1"/>
        <v>9.0749313099486333</v>
      </c>
      <c r="F22" s="446">
        <f>VLOOKUP(A22,총수신고!$M$6:$U$45,2,FALSE)</f>
        <v>44175</v>
      </c>
      <c r="G22" s="446">
        <f>VLOOKUP(A22,총수신고!$M$6:$U$45,4,FALSE)</f>
        <v>43887.774230000003</v>
      </c>
      <c r="H22" s="444">
        <f t="shared" si="2"/>
        <v>99.349800181097919</v>
      </c>
      <c r="I22" s="445">
        <f t="shared" si="3"/>
        <v>35.469206721085826</v>
      </c>
      <c r="J22" s="446">
        <f>VLOOKUP(A22,체크카드!$A$5:$D$44,2,FALSE)</f>
        <v>211366</v>
      </c>
      <c r="K22" s="446">
        <f>VLOOKUP(A22,체크카드!$A$5:$D$44,3,FALSE)</f>
        <v>107865.37</v>
      </c>
      <c r="L22" s="444">
        <f t="shared" si="4"/>
        <v>51.032507593463471</v>
      </c>
      <c r="M22" s="447">
        <f t="shared" si="5"/>
        <v>20.571600585883591</v>
      </c>
      <c r="N22" s="446">
        <f>VLOOKUP(A22,스마트금융!$A$5:$D$45,2,FALSE)</f>
        <v>6592</v>
      </c>
      <c r="O22" s="446">
        <f>VLOOKUP(A22,스마트금융!$A$5:$D$45,3,FALSE)</f>
        <v>6549</v>
      </c>
      <c r="P22" s="444">
        <f t="shared" si="6"/>
        <v>99.347694174757279</v>
      </c>
      <c r="Q22" s="447">
        <f t="shared" si="7"/>
        <v>19.522817967481004</v>
      </c>
      <c r="R22" s="448">
        <f t="shared" si="8"/>
        <v>84.638556584399055</v>
      </c>
      <c r="S22" s="449">
        <f t="shared" si="9"/>
        <v>19</v>
      </c>
      <c r="T22" s="450">
        <f>VLOOKUP(S22,Sheet8!$A$3:$B$42,2,FALSE)</f>
        <v>9200</v>
      </c>
      <c r="U22" s="452">
        <f>VLOOKUP(S22,Sheet8!A21:C60,3,FALSE)</f>
        <v>5500</v>
      </c>
    </row>
    <row r="23" spans="1:21">
      <c r="A23" s="132" t="s">
        <v>30</v>
      </c>
      <c r="B23" s="443">
        <f>VLOOKUP(A23,총수신고!$C$6:$I$45,2,FALSE)</f>
        <v>161565</v>
      </c>
      <c r="C23" s="443">
        <f>VLOOKUP(A23,총수신고!$C$6:$I$45,4,FALSE)</f>
        <v>173115.560451</v>
      </c>
      <c r="D23" s="444">
        <f t="shared" si="0"/>
        <v>107.14917243895646</v>
      </c>
      <c r="E23" s="445">
        <f t="shared" si="1"/>
        <v>9.0146976862545376</v>
      </c>
      <c r="F23" s="446">
        <f>VLOOKUP(A23,총수신고!$M$6:$U$45,2,FALSE)</f>
        <v>37301</v>
      </c>
      <c r="G23" s="446">
        <f>VLOOKUP(A23,총수신고!$M$6:$U$45,4,FALSE)</f>
        <v>38179.761086999999</v>
      </c>
      <c r="H23" s="444">
        <f t="shared" si="2"/>
        <v>102.35586468727379</v>
      </c>
      <c r="I23" s="445">
        <f t="shared" si="3"/>
        <v>36.542411933296776</v>
      </c>
      <c r="J23" s="446">
        <f>VLOOKUP(A23,체크카드!$A$5:$D$44,2,FALSE)</f>
        <v>166288</v>
      </c>
      <c r="K23" s="446">
        <f>VLOOKUP(A23,체크카드!$A$5:$D$44,3,FALSE)</f>
        <v>82829.684999999998</v>
      </c>
      <c r="L23" s="444">
        <f t="shared" si="4"/>
        <v>49.810981550081785</v>
      </c>
      <c r="M23" s="447">
        <f t="shared" si="5"/>
        <v>20.079193940498179</v>
      </c>
      <c r="N23" s="446">
        <f>VLOOKUP(A23,스마트금융!$A$5:$D$45,2,FALSE)</f>
        <v>6068</v>
      </c>
      <c r="O23" s="446">
        <f>VLOOKUP(A23,스마트금융!$A$5:$D$45,3,FALSE)</f>
        <v>5864</v>
      </c>
      <c r="P23" s="444">
        <f t="shared" si="6"/>
        <v>96.6381015161503</v>
      </c>
      <c r="Q23" s="447">
        <f t="shared" si="7"/>
        <v>18.990355843629843</v>
      </c>
      <c r="R23" s="448">
        <f t="shared" si="8"/>
        <v>84.626659403679341</v>
      </c>
      <c r="S23" s="449">
        <f t="shared" si="9"/>
        <v>20</v>
      </c>
      <c r="T23" s="450">
        <f>VLOOKUP(S23,Sheet8!$A$3:$B$42,2,FALSE)</f>
        <v>9200</v>
      </c>
      <c r="U23" s="452">
        <f>VLOOKUP(S23,Sheet8!A22:C61,3,FALSE)</f>
        <v>5500</v>
      </c>
    </row>
    <row r="24" spans="1:21">
      <c r="A24" s="132" t="s">
        <v>92</v>
      </c>
      <c r="B24" s="443">
        <f>VLOOKUP(A24,총수신고!$C$6:$I$45,2,FALSE)</f>
        <v>364169</v>
      </c>
      <c r="C24" s="443">
        <f>VLOOKUP(A24,총수신고!$C$6:$I$45,4,FALSE)</f>
        <v>385837.57888500002</v>
      </c>
      <c r="D24" s="444">
        <f t="shared" si="0"/>
        <v>105.9501437203606</v>
      </c>
      <c r="E24" s="445">
        <f t="shared" si="1"/>
        <v>8.9138207390113227</v>
      </c>
      <c r="F24" s="446">
        <f>VLOOKUP(A24,총수신고!$M$6:$U$45,2,FALSE)</f>
        <v>85242</v>
      </c>
      <c r="G24" s="446">
        <f>VLOOKUP(A24,총수신고!$M$6:$U$45,4,FALSE)</f>
        <v>85783.332934999999</v>
      </c>
      <c r="H24" s="444">
        <f t="shared" si="2"/>
        <v>100.63505423969406</v>
      </c>
      <c r="I24" s="445">
        <f t="shared" si="3"/>
        <v>35.928059600612144</v>
      </c>
      <c r="J24" s="446">
        <f>VLOOKUP(A24,체크카드!$A$5:$D$44,2,FALSE)</f>
        <v>370979</v>
      </c>
      <c r="K24" s="446">
        <f>VLOOKUP(A24,체크카드!$A$5:$D$44,3,FALSE)</f>
        <v>188527.18599999999</v>
      </c>
      <c r="L24" s="444">
        <f t="shared" si="4"/>
        <v>50.818829637257089</v>
      </c>
      <c r="M24" s="447">
        <f t="shared" si="5"/>
        <v>20.485465340402364</v>
      </c>
      <c r="N24" s="446">
        <f>VLOOKUP(A24,스마트금융!$A$5:$D$45,2,FALSE)</f>
        <v>10119</v>
      </c>
      <c r="O24" s="446">
        <f>VLOOKUP(A24,스마트금융!$A$5:$D$45,3,FALSE)</f>
        <v>9936</v>
      </c>
      <c r="P24" s="444">
        <f t="shared" si="6"/>
        <v>98.191520901274828</v>
      </c>
      <c r="Q24" s="447">
        <f t="shared" si="7"/>
        <v>19.295618327423334</v>
      </c>
      <c r="R24" s="448">
        <f t="shared" si="8"/>
        <v>84.622964007449156</v>
      </c>
      <c r="S24" s="449">
        <f t="shared" si="9"/>
        <v>21</v>
      </c>
      <c r="T24" s="450">
        <f>VLOOKUP(S24,Sheet8!$A$3:$B$42,2,FALSE)</f>
        <v>8600</v>
      </c>
      <c r="U24" s="452">
        <f>VLOOKUP(S24,Sheet8!A23:C62,3,FALSE)</f>
        <v>5000</v>
      </c>
    </row>
    <row r="25" spans="1:21">
      <c r="A25" s="132" t="s">
        <v>98</v>
      </c>
      <c r="B25" s="443">
        <f>VLOOKUP(A25,총수신고!$C$6:$I$45,2,FALSE)</f>
        <v>138961</v>
      </c>
      <c r="C25" s="443">
        <f>VLOOKUP(A25,총수신고!$C$6:$I$45,4,FALSE)</f>
        <v>144198.661941</v>
      </c>
      <c r="D25" s="444">
        <f t="shared" si="0"/>
        <v>103.7691596498298</v>
      </c>
      <c r="E25" s="445">
        <f t="shared" si="1"/>
        <v>8.7303297086389424</v>
      </c>
      <c r="F25" s="446">
        <f>VLOOKUP(A25,총수신고!$M$6:$U$45,2,FALSE)</f>
        <v>26692</v>
      </c>
      <c r="G25" s="446">
        <f>VLOOKUP(A25,총수신고!$M$6:$U$45,4,FALSE)</f>
        <v>26679.172422</v>
      </c>
      <c r="H25" s="444">
        <f t="shared" si="2"/>
        <v>99.951942237374496</v>
      </c>
      <c r="I25" s="445">
        <f t="shared" si="3"/>
        <v>35.684179484298262</v>
      </c>
      <c r="J25" s="446">
        <f>VLOOKUP(A25,체크카드!$A$5:$D$44,2,FALSE)</f>
        <v>99260</v>
      </c>
      <c r="K25" s="446">
        <f>VLOOKUP(A25,체크카드!$A$5:$D$44,3,FALSE)</f>
        <v>49983.45</v>
      </c>
      <c r="L25" s="444">
        <f t="shared" si="4"/>
        <v>50.356085029216203</v>
      </c>
      <c r="M25" s="447">
        <f t="shared" si="5"/>
        <v>20.298929391087036</v>
      </c>
      <c r="N25" s="446">
        <f>VLOOKUP(A25,스마트금융!$A$5:$D$45,2,FALSE)</f>
        <v>4481</v>
      </c>
      <c r="O25" s="446">
        <f>VLOOKUP(A25,스마트금융!$A$5:$D$45,3,FALSE)</f>
        <v>4460</v>
      </c>
      <c r="P25" s="444">
        <f t="shared" si="6"/>
        <v>99.531354608346362</v>
      </c>
      <c r="Q25" s="447">
        <f t="shared" si="7"/>
        <v>19.558909084064759</v>
      </c>
      <c r="R25" s="448">
        <f t="shared" si="8"/>
        <v>84.272347668088997</v>
      </c>
      <c r="S25" s="449">
        <f t="shared" si="9"/>
        <v>22</v>
      </c>
      <c r="T25" s="450">
        <f>VLOOKUP(S25,Sheet8!$A$3:$B$42,2,FALSE)</f>
        <v>8600</v>
      </c>
      <c r="U25" s="452">
        <f>VLOOKUP(S25,Sheet8!A24:C63,3,FALSE)</f>
        <v>5000</v>
      </c>
    </row>
    <row r="26" spans="1:21">
      <c r="A26" s="132" t="s">
        <v>39</v>
      </c>
      <c r="B26" s="443">
        <f>VLOOKUP(A26,총수신고!$C$6:$I$45,2,FALSE)</f>
        <v>354661</v>
      </c>
      <c r="C26" s="443">
        <f>VLOOKUP(A26,총수신고!$C$6:$I$45,4,FALSE)</f>
        <v>378428.31660100003</v>
      </c>
      <c r="D26" s="444">
        <f t="shared" si="0"/>
        <v>106.70141814324101</v>
      </c>
      <c r="E26" s="445">
        <f t="shared" si="1"/>
        <v>8.9770271236013723</v>
      </c>
      <c r="F26" s="446">
        <f>VLOOKUP(A26,총수신고!$M$6:$U$45,2,FALSE)</f>
        <v>88844</v>
      </c>
      <c r="G26" s="446">
        <f>VLOOKUP(A26,총수신고!$M$6:$U$45,4,FALSE)</f>
        <v>89468.126504999993</v>
      </c>
      <c r="H26" s="444">
        <f t="shared" si="2"/>
        <v>100.70249707914995</v>
      </c>
      <c r="I26" s="445">
        <f t="shared" si="3"/>
        <v>35.952137595838686</v>
      </c>
      <c r="J26" s="446">
        <f>VLOOKUP(A26,체크카드!$A$5:$D$44,2,FALSE)</f>
        <v>319800</v>
      </c>
      <c r="K26" s="446">
        <f>VLOOKUP(A26,체크카드!$A$5:$D$44,3,FALSE)</f>
        <v>155942.79699999999</v>
      </c>
      <c r="L26" s="444">
        <f t="shared" si="4"/>
        <v>48.762600687929954</v>
      </c>
      <c r="M26" s="447">
        <f t="shared" si="5"/>
        <v>19.656583463860851</v>
      </c>
      <c r="N26" s="446">
        <f>VLOOKUP(A26,스마트금융!$A$5:$D$45,2,FALSE)</f>
        <v>10603</v>
      </c>
      <c r="O26" s="446">
        <f>VLOOKUP(A26,스마트금융!$A$5:$D$45,3,FALSE)</f>
        <v>10492</v>
      </c>
      <c r="P26" s="444">
        <f t="shared" si="6"/>
        <v>98.953126473639543</v>
      </c>
      <c r="Q26" s="447">
        <f t="shared" si="7"/>
        <v>19.445281458267022</v>
      </c>
      <c r="R26" s="448">
        <f t="shared" si="8"/>
        <v>84.031029641567926</v>
      </c>
      <c r="S26" s="449">
        <f t="shared" si="9"/>
        <v>23</v>
      </c>
      <c r="T26" s="450">
        <f>VLOOKUP(S26,Sheet8!$A$3:$B$42,2,FALSE)</f>
        <v>8600</v>
      </c>
      <c r="U26" s="452">
        <f>VLOOKUP(S26,Sheet8!A25:C64,3,FALSE)</f>
        <v>5000</v>
      </c>
    </row>
    <row r="27" spans="1:21">
      <c r="A27" s="132" t="s">
        <v>86</v>
      </c>
      <c r="B27" s="443">
        <f>VLOOKUP(A27,총수신고!$C$6:$I$45,2,FALSE)</f>
        <v>335902</v>
      </c>
      <c r="C27" s="443">
        <f>VLOOKUP(A27,총수신고!$C$6:$I$45,4,FALSE)</f>
        <v>352795.65870099998</v>
      </c>
      <c r="D27" s="444">
        <f t="shared" si="0"/>
        <v>105.02934150466506</v>
      </c>
      <c r="E27" s="445">
        <f t="shared" si="1"/>
        <v>8.836351604958443</v>
      </c>
      <c r="F27" s="446">
        <f>VLOOKUP(A27,총수신고!$M$6:$U$45,2,FALSE)</f>
        <v>82878</v>
      </c>
      <c r="G27" s="446">
        <f>VLOOKUP(A27,총수신고!$M$6:$U$45,4,FALSE)</f>
        <v>82572.820999999996</v>
      </c>
      <c r="H27" s="444">
        <f t="shared" si="2"/>
        <v>99.631773208812945</v>
      </c>
      <c r="I27" s="445">
        <f t="shared" si="3"/>
        <v>35.569874861248806</v>
      </c>
      <c r="J27" s="446">
        <f>VLOOKUP(A27,체크카드!$A$5:$D$44,2,FALSE)</f>
        <v>290833</v>
      </c>
      <c r="K27" s="446">
        <f>VLOOKUP(A27,체크카드!$A$5:$D$44,3,FALSE)</f>
        <v>146866.09599999999</v>
      </c>
      <c r="L27" s="444">
        <f t="shared" si="4"/>
        <v>50.498428995334088</v>
      </c>
      <c r="M27" s="447">
        <f t="shared" si="5"/>
        <v>20.356309350545715</v>
      </c>
      <c r="N27" s="446">
        <f>VLOOKUP(A27,스마트금융!$A$5:$D$45,2,FALSE)</f>
        <v>10878</v>
      </c>
      <c r="O27" s="446">
        <f>VLOOKUP(A27,스마트금융!$A$5:$D$45,3,FALSE)</f>
        <v>10632</v>
      </c>
      <c r="P27" s="444">
        <f t="shared" si="6"/>
        <v>97.738554881412014</v>
      </c>
      <c r="Q27" s="447">
        <f t="shared" si="7"/>
        <v>19.20660596307313</v>
      </c>
      <c r="R27" s="448">
        <f t="shared" si="8"/>
        <v>83.969141779826103</v>
      </c>
      <c r="S27" s="449">
        <f t="shared" si="9"/>
        <v>24</v>
      </c>
      <c r="T27" s="450">
        <f>VLOOKUP(S27,Sheet8!$A$3:$B$42,2,FALSE)</f>
        <v>8600</v>
      </c>
      <c r="U27" s="452">
        <f>VLOOKUP(S27,Sheet8!A26:C65,3,FALSE)</f>
        <v>5000</v>
      </c>
    </row>
    <row r="28" spans="1:21">
      <c r="A28" s="132" t="s">
        <v>102</v>
      </c>
      <c r="B28" s="443">
        <f>VLOOKUP(A28,총수신고!$C$6:$I$45,2,FALSE)</f>
        <v>94709</v>
      </c>
      <c r="C28" s="443">
        <f>VLOOKUP(A28,총수신고!$C$6:$I$45,4,FALSE)</f>
        <v>96701.369227999996</v>
      </c>
      <c r="D28" s="444">
        <f t="shared" si="0"/>
        <v>102.10367465393998</v>
      </c>
      <c r="E28" s="445">
        <f t="shared" si="1"/>
        <v>8.5902087595248169</v>
      </c>
      <c r="F28" s="446">
        <f>VLOOKUP(A28,총수신고!$M$6:$U$45,2,FALSE)</f>
        <v>21185</v>
      </c>
      <c r="G28" s="446">
        <f>VLOOKUP(A28,총수신고!$M$6:$U$45,4,FALSE)</f>
        <v>21572.060154999999</v>
      </c>
      <c r="H28" s="444">
        <f t="shared" si="2"/>
        <v>101.82704817087563</v>
      </c>
      <c r="I28" s="445">
        <f t="shared" si="3"/>
        <v>36.353617367998602</v>
      </c>
      <c r="J28" s="446">
        <f>VLOOKUP(A28,체크카드!$A$5:$D$44,2,FALSE)</f>
        <v>89892</v>
      </c>
      <c r="K28" s="446">
        <f>VLOOKUP(A28,체크카드!$A$5:$D$44,3,FALSE)</f>
        <v>43486.516000000003</v>
      </c>
      <c r="L28" s="444">
        <f t="shared" si="4"/>
        <v>48.376402794464475</v>
      </c>
      <c r="M28" s="447">
        <f t="shared" si="5"/>
        <v>19.500904090337393</v>
      </c>
      <c r="N28" s="446">
        <f>VLOOKUP(A28,스마트금융!$A$5:$D$45,2,FALSE)</f>
        <v>3096</v>
      </c>
      <c r="O28" s="446">
        <f>VLOOKUP(A28,스마트금융!$A$5:$D$45,3,FALSE)</f>
        <v>3074</v>
      </c>
      <c r="P28" s="444">
        <f t="shared" si="6"/>
        <v>99.289405684754513</v>
      </c>
      <c r="Q28" s="447">
        <f t="shared" si="7"/>
        <v>19.511363694793793</v>
      </c>
      <c r="R28" s="448">
        <f t="shared" si="8"/>
        <v>83.956093912654609</v>
      </c>
      <c r="S28" s="449">
        <f t="shared" si="9"/>
        <v>25</v>
      </c>
      <c r="T28" s="450">
        <f>VLOOKUP(S28,Sheet8!$A$3:$B$42,2,FALSE)</f>
        <v>8600</v>
      </c>
      <c r="U28" s="452">
        <f>VLOOKUP(S28,Sheet8!A27:C66,3,FALSE)</f>
        <v>5000</v>
      </c>
    </row>
    <row r="29" spans="1:21">
      <c r="A29" s="132" t="s">
        <v>37</v>
      </c>
      <c r="B29" s="443">
        <f>VLOOKUP(A29,총수신고!$C$6:$I$45,2,FALSE)</f>
        <v>247075</v>
      </c>
      <c r="C29" s="443">
        <f>VLOOKUP(A29,총수신고!$C$6:$I$45,4,FALSE)</f>
        <v>268272.19089299999</v>
      </c>
      <c r="D29" s="444">
        <f t="shared" si="0"/>
        <v>108.57925362460792</v>
      </c>
      <c r="E29" s="445">
        <f t="shared" si="1"/>
        <v>9.1350135903534984</v>
      </c>
      <c r="F29" s="446">
        <f>VLOOKUP(A29,총수신고!$M$6:$U$45,2,FALSE)</f>
        <v>43423</v>
      </c>
      <c r="G29" s="446">
        <f>VLOOKUP(A29,총수신고!$M$6:$U$45,4,FALSE)</f>
        <v>43087.853062000002</v>
      </c>
      <c r="H29" s="444">
        <f t="shared" si="2"/>
        <v>99.22818106072819</v>
      </c>
      <c r="I29" s="445">
        <f t="shared" si="3"/>
        <v>35.425787069372717</v>
      </c>
      <c r="J29" s="446">
        <f>VLOOKUP(A29,체크카드!$A$5:$D$44,2,FALSE)</f>
        <v>147071</v>
      </c>
      <c r="K29" s="446">
        <f>VLOOKUP(A29,체크카드!$A$5:$D$44,3,FALSE)</f>
        <v>73619.759000000005</v>
      </c>
      <c r="L29" s="444">
        <f t="shared" si="4"/>
        <v>50.057291376274051</v>
      </c>
      <c r="M29" s="447">
        <f t="shared" si="5"/>
        <v>20.178483346481723</v>
      </c>
      <c r="N29" s="446">
        <f>VLOOKUP(A29,스마트금융!$A$5:$D$45,2,FALSE)</f>
        <v>6589</v>
      </c>
      <c r="O29" s="446">
        <f>VLOOKUP(A29,스마트금융!$A$5:$D$45,3,FALSE)</f>
        <v>6402</v>
      </c>
      <c r="P29" s="444">
        <f t="shared" si="6"/>
        <v>97.16193656093489</v>
      </c>
      <c r="Q29" s="447">
        <f t="shared" si="7"/>
        <v>19.093294681911562</v>
      </c>
      <c r="R29" s="448">
        <f t="shared" si="8"/>
        <v>83.832578688119497</v>
      </c>
      <c r="S29" s="449">
        <f t="shared" si="9"/>
        <v>26</v>
      </c>
      <c r="T29" s="450">
        <f>VLOOKUP(S29,Sheet8!$A$3:$B$42,2,FALSE)</f>
        <v>8000</v>
      </c>
      <c r="U29" s="452">
        <f>VLOOKUP(S29,Sheet8!A28:C67,3,FALSE)</f>
        <v>4500</v>
      </c>
    </row>
    <row r="30" spans="1:21">
      <c r="A30" s="132" t="s">
        <v>95</v>
      </c>
      <c r="B30" s="443">
        <f>VLOOKUP(A30,총수신고!$C$6:$I$45,2,FALSE)</f>
        <v>111060</v>
      </c>
      <c r="C30" s="443">
        <f>VLOOKUP(A30,총수신고!$C$6:$I$45,4,FALSE)</f>
        <v>120311.57211199999</v>
      </c>
      <c r="D30" s="444">
        <f t="shared" si="0"/>
        <v>108.33024681433459</v>
      </c>
      <c r="E30" s="445">
        <f t="shared" si="1"/>
        <v>9.1140640947546263</v>
      </c>
      <c r="F30" s="446">
        <f>VLOOKUP(A30,총수신고!$M$6:$U$45,2,FALSE)</f>
        <v>36775</v>
      </c>
      <c r="G30" s="446">
        <f>VLOOKUP(A30,총수신고!$M$6:$U$45,4,FALSE)</f>
        <v>35527.276075000002</v>
      </c>
      <c r="H30" s="444">
        <f t="shared" si="2"/>
        <v>96.607140924541142</v>
      </c>
      <c r="I30" s="445">
        <f t="shared" si="3"/>
        <v>34.490040704053207</v>
      </c>
      <c r="J30" s="446">
        <f>VLOOKUP(A30,체크카드!$A$5:$D$44,2,FALSE)</f>
        <v>129433</v>
      </c>
      <c r="K30" s="446">
        <f>VLOOKUP(A30,체크카드!$A$5:$D$44,3,FALSE)</f>
        <v>65067.981</v>
      </c>
      <c r="L30" s="444">
        <f t="shared" si="4"/>
        <v>50.271554394937922</v>
      </c>
      <c r="M30" s="447">
        <f t="shared" si="5"/>
        <v>20.264854435188397</v>
      </c>
      <c r="N30" s="446">
        <f>VLOOKUP(A30,스마트금융!$A$5:$D$45,2,FALSE)</f>
        <v>4429</v>
      </c>
      <c r="O30" s="446">
        <f>VLOOKUP(A30,스마트금융!$A$5:$D$45,3,FALSE)</f>
        <v>4476</v>
      </c>
      <c r="P30" s="444">
        <f t="shared" si="6"/>
        <v>101.06118762700385</v>
      </c>
      <c r="Q30" s="447">
        <f t="shared" si="7"/>
        <v>19.85953661037005</v>
      </c>
      <c r="R30" s="448">
        <f t="shared" si="8"/>
        <v>83.728495844366279</v>
      </c>
      <c r="S30" s="449">
        <f t="shared" si="9"/>
        <v>27</v>
      </c>
      <c r="T30" s="450">
        <f>VLOOKUP(S30,Sheet8!$A$3:$B$42,2,FALSE)</f>
        <v>8000</v>
      </c>
      <c r="U30" s="452">
        <f>VLOOKUP(S30,Sheet8!A29:C68,3,FALSE)</f>
        <v>4500</v>
      </c>
    </row>
    <row r="31" spans="1:21">
      <c r="A31" s="132" t="s">
        <v>90</v>
      </c>
      <c r="B31" s="443">
        <f>VLOOKUP(A31,총수신고!$C$6:$I$45,2,FALSE)</f>
        <v>173602</v>
      </c>
      <c r="C31" s="443">
        <f>VLOOKUP(A31,총수신고!$C$6:$I$45,4,FALSE)</f>
        <v>180191.37622400001</v>
      </c>
      <c r="D31" s="444">
        <f t="shared" si="0"/>
        <v>103.79567990230527</v>
      </c>
      <c r="E31" s="445">
        <f t="shared" si="1"/>
        <v>8.7325609163392688</v>
      </c>
      <c r="F31" s="446">
        <f>VLOOKUP(A31,총수신고!$M$6:$U$45,2,FALSE)</f>
        <v>39956</v>
      </c>
      <c r="G31" s="446">
        <f>VLOOKUP(A31,총수신고!$M$6:$U$45,4,FALSE)</f>
        <v>39064.390805000003</v>
      </c>
      <c r="H31" s="444">
        <f t="shared" si="2"/>
        <v>97.768522387125842</v>
      </c>
      <c r="I31" s="445">
        <f t="shared" si="3"/>
        <v>34.904669410939036</v>
      </c>
      <c r="J31" s="446">
        <f>VLOOKUP(A31,체크카드!$A$5:$D$44,2,FALSE)</f>
        <v>216281</v>
      </c>
      <c r="K31" s="446">
        <f>VLOOKUP(A31,체크카드!$A$5:$D$44,3,FALSE)</f>
        <v>109722.075</v>
      </c>
      <c r="L31" s="444">
        <f t="shared" si="4"/>
        <v>50.731259333922075</v>
      </c>
      <c r="M31" s="447">
        <f t="shared" si="5"/>
        <v>20.450165070273695</v>
      </c>
      <c r="N31" s="446">
        <f>VLOOKUP(A31,스마트금융!$A$5:$D$45,2,FALSE)</f>
        <v>8763</v>
      </c>
      <c r="O31" s="446">
        <f>VLOOKUP(A31,스마트금융!$A$5:$D$45,3,FALSE)</f>
        <v>8745</v>
      </c>
      <c r="P31" s="444">
        <f t="shared" si="6"/>
        <v>99.794590893529616</v>
      </c>
      <c r="Q31" s="447">
        <f t="shared" si="7"/>
        <v>19.610637653315987</v>
      </c>
      <c r="R31" s="448">
        <f t="shared" si="8"/>
        <v>83.698033050867991</v>
      </c>
      <c r="S31" s="449">
        <f t="shared" si="9"/>
        <v>28</v>
      </c>
      <c r="T31" s="450">
        <f>VLOOKUP(S31,Sheet8!$A$3:$B$42,2,FALSE)</f>
        <v>8000</v>
      </c>
      <c r="U31" s="452">
        <f>VLOOKUP(S31,Sheet8!A30:C69,3,FALSE)</f>
        <v>4500</v>
      </c>
    </row>
    <row r="32" spans="1:21">
      <c r="A32" s="132" t="s">
        <v>106</v>
      </c>
      <c r="B32" s="443">
        <f>VLOOKUP(A32,총수신고!$C$6:$I$45,2,FALSE)</f>
        <v>102733</v>
      </c>
      <c r="C32" s="443">
        <f>VLOOKUP(A32,총수신고!$C$6:$I$45,4,FALSE)</f>
        <v>109709.76779699999</v>
      </c>
      <c r="D32" s="444">
        <f t="shared" si="0"/>
        <v>106.79116525069841</v>
      </c>
      <c r="E32" s="445">
        <f t="shared" si="1"/>
        <v>8.9845777469382462</v>
      </c>
      <c r="F32" s="446">
        <f>VLOOKUP(A32,총수신고!$M$6:$U$45,2,FALSE)</f>
        <v>21628</v>
      </c>
      <c r="G32" s="446">
        <f>VLOOKUP(A32,총수신고!$M$6:$U$45,4,FALSE)</f>
        <v>21252.886484999999</v>
      </c>
      <c r="H32" s="444">
        <f t="shared" si="2"/>
        <v>98.265611637691876</v>
      </c>
      <c r="I32" s="445">
        <f t="shared" si="3"/>
        <v>35.082136918221565</v>
      </c>
      <c r="J32" s="446">
        <f>VLOOKUP(A32,체크카드!$A$5:$D$44,2,FALSE)</f>
        <v>103189</v>
      </c>
      <c r="K32" s="446">
        <f>VLOOKUP(A32,체크카드!$A$5:$D$44,3,FALSE)</f>
        <v>51777.803</v>
      </c>
      <c r="L32" s="444">
        <f t="shared" si="4"/>
        <v>50.17763812034228</v>
      </c>
      <c r="M32" s="447">
        <f t="shared" si="5"/>
        <v>20.226996054704987</v>
      </c>
      <c r="N32" s="446">
        <f>VLOOKUP(A32,스마트금융!$A$5:$D$45,2,FALSE)</f>
        <v>3723</v>
      </c>
      <c r="O32" s="446">
        <f>VLOOKUP(A32,스마트금융!$A$5:$D$45,3,FALSE)</f>
        <v>3665</v>
      </c>
      <c r="P32" s="444">
        <f t="shared" si="6"/>
        <v>98.44211657265646</v>
      </c>
      <c r="Q32" s="447">
        <f t="shared" si="7"/>
        <v>19.344862889327473</v>
      </c>
      <c r="R32" s="448">
        <f t="shared" si="8"/>
        <v>83.638573609192264</v>
      </c>
      <c r="S32" s="449">
        <f t="shared" si="9"/>
        <v>29</v>
      </c>
      <c r="T32" s="450">
        <f>VLOOKUP(S32,Sheet8!$A$3:$B$42,2,FALSE)</f>
        <v>8000</v>
      </c>
      <c r="U32" s="452">
        <f>VLOOKUP(S32,Sheet8!A31:C70,3,FALSE)</f>
        <v>4500</v>
      </c>
    </row>
    <row r="33" spans="1:22">
      <c r="A33" s="132" t="s">
        <v>38</v>
      </c>
      <c r="B33" s="443">
        <f>VLOOKUP(A33,총수신고!$C$6:$I$45,2,FALSE)</f>
        <v>440866</v>
      </c>
      <c r="C33" s="443">
        <f>VLOOKUP(A33,총수신고!$C$6:$I$45,4,FALSE)</f>
        <v>452393.21272200003</v>
      </c>
      <c r="D33" s="444">
        <f t="shared" si="0"/>
        <v>102.61467491754865</v>
      </c>
      <c r="E33" s="445">
        <f t="shared" si="1"/>
        <v>8.633200345826177</v>
      </c>
      <c r="F33" s="446">
        <f>VLOOKUP(A33,총수신고!$M$6:$U$45,2,FALSE)</f>
        <v>81033</v>
      </c>
      <c r="G33" s="446">
        <f>VLOOKUP(A33,총수신고!$M$6:$U$45,4,FALSE)</f>
        <v>78125.132750999997</v>
      </c>
      <c r="H33" s="444">
        <f t="shared" si="2"/>
        <v>96.4115024138314</v>
      </c>
      <c r="I33" s="445">
        <f t="shared" si="3"/>
        <v>34.420195140536016</v>
      </c>
      <c r="J33" s="446">
        <f>VLOOKUP(A33,체크카드!$A$5:$D$44,2,FALSE)</f>
        <v>200655</v>
      </c>
      <c r="K33" s="446">
        <f>VLOOKUP(A33,체크카드!$A$5:$D$44,3,FALSE)</f>
        <v>105648.69500000001</v>
      </c>
      <c r="L33" s="444">
        <f t="shared" si="4"/>
        <v>52.651912486606363</v>
      </c>
      <c r="M33" s="447">
        <f t="shared" si="5"/>
        <v>21.224395289094062</v>
      </c>
      <c r="N33" s="446">
        <f>VLOOKUP(A33,스마트금융!$A$5:$D$45,2,FALSE)</f>
        <v>9960</v>
      </c>
      <c r="O33" s="446">
        <f>VLOOKUP(A33,스마트금융!$A$5:$D$45,3,FALSE)</f>
        <v>9763</v>
      </c>
      <c r="P33" s="444">
        <f t="shared" si="6"/>
        <v>98.02208835341365</v>
      </c>
      <c r="Q33" s="447">
        <f t="shared" si="7"/>
        <v>19.262323133034204</v>
      </c>
      <c r="R33" s="448">
        <f t="shared" si="8"/>
        <v>83.540113908490454</v>
      </c>
      <c r="S33" s="449">
        <f t="shared" si="9"/>
        <v>30</v>
      </c>
      <c r="T33" s="450">
        <f>VLOOKUP(S33,Sheet8!$A$3:$B$42,2,FALSE)</f>
        <v>8000</v>
      </c>
      <c r="U33" s="452">
        <f>VLOOKUP(S33,Sheet8!A32:C71,3,FALSE)</f>
        <v>4500</v>
      </c>
    </row>
    <row r="34" spans="1:22">
      <c r="A34" s="132" t="s">
        <v>107</v>
      </c>
      <c r="B34" s="443">
        <f>VLOOKUP(A34,총수신고!$C$6:$I$45,2,FALSE)</f>
        <v>98016</v>
      </c>
      <c r="C34" s="443">
        <f>VLOOKUP(A34,총수신고!$C$6:$I$45,4,FALSE)</f>
        <v>101580.36300100001</v>
      </c>
      <c r="D34" s="444">
        <f t="shared" si="0"/>
        <v>103.63651138691642</v>
      </c>
      <c r="E34" s="445">
        <f t="shared" si="1"/>
        <v>8.7191697158778965</v>
      </c>
      <c r="F34" s="446">
        <f>VLOOKUP(A34,총수신고!$M$6:$U$45,2,FALSE)</f>
        <v>20444</v>
      </c>
      <c r="G34" s="446">
        <f>VLOOKUP(A34,총수신고!$M$6:$U$45,4,FALSE)</f>
        <v>20040.048232000001</v>
      </c>
      <c r="H34" s="444">
        <f t="shared" si="2"/>
        <v>98.024106006652318</v>
      </c>
      <c r="I34" s="445">
        <f t="shared" si="3"/>
        <v>34.995916179618831</v>
      </c>
      <c r="J34" s="446">
        <f>VLOOKUP(A34,체크카드!$A$5:$D$44,2,FALSE)</f>
        <v>75365</v>
      </c>
      <c r="K34" s="446">
        <f>VLOOKUP(A34,체크카드!$A$5:$D$44,3,FALSE)</f>
        <v>37605.264000000003</v>
      </c>
      <c r="L34" s="444">
        <f t="shared" si="4"/>
        <v>49.897517415245808</v>
      </c>
      <c r="M34" s="447">
        <f t="shared" si="5"/>
        <v>20.114077220557423</v>
      </c>
      <c r="N34" s="446">
        <f>VLOOKUP(A34,스마트금융!$A$5:$D$45,2,FALSE)</f>
        <v>2681</v>
      </c>
      <c r="O34" s="446">
        <f>VLOOKUP(A34,스마트금융!$A$5:$D$45,3,FALSE)</f>
        <v>2652</v>
      </c>
      <c r="P34" s="444">
        <f t="shared" si="6"/>
        <v>98.918314061917187</v>
      </c>
      <c r="Q34" s="447">
        <f t="shared" si="7"/>
        <v>19.438440470333582</v>
      </c>
      <c r="R34" s="448">
        <f t="shared" si="8"/>
        <v>83.267603586387736</v>
      </c>
      <c r="S34" s="449">
        <f t="shared" si="9"/>
        <v>31</v>
      </c>
      <c r="T34" s="450">
        <f>VLOOKUP(S34,Sheet8!$A$3:$B$42,2,FALSE)</f>
        <v>7000</v>
      </c>
      <c r="U34" s="452">
        <f>VLOOKUP(S34,Sheet8!A33:C72,3,FALSE)</f>
        <v>4000</v>
      </c>
    </row>
    <row r="35" spans="1:22">
      <c r="A35" s="132" t="s">
        <v>91</v>
      </c>
      <c r="B35" s="443">
        <f>VLOOKUP(A35,총수신고!$C$6:$I$45,2,FALSE)</f>
        <v>140465</v>
      </c>
      <c r="C35" s="443">
        <f>VLOOKUP(A35,총수신고!$C$6:$I$45,4,FALSE)</f>
        <v>152820.093441</v>
      </c>
      <c r="D35" s="444">
        <f t="shared" si="0"/>
        <v>108.79585194959598</v>
      </c>
      <c r="E35" s="445">
        <f t="shared" si="1"/>
        <v>9.1532364881572938</v>
      </c>
      <c r="F35" s="446">
        <f>VLOOKUP(A35,총수신고!$M$6:$U$45,2,FALSE)</f>
        <v>37380</v>
      </c>
      <c r="G35" s="446">
        <f>VLOOKUP(A35,총수신고!$M$6:$U$45,4,FALSE)</f>
        <v>35712.409793999999</v>
      </c>
      <c r="H35" s="444">
        <f t="shared" si="2"/>
        <v>95.538816998394864</v>
      </c>
      <c r="I35" s="445">
        <f t="shared" si="3"/>
        <v>34.10863478162063</v>
      </c>
      <c r="J35" s="446">
        <f>VLOOKUP(A35,체크카드!$A$5:$D$44,2,FALSE)</f>
        <v>193481</v>
      </c>
      <c r="K35" s="446">
        <f>VLOOKUP(A35,체크카드!$A$5:$D$44,3,FALSE)</f>
        <v>95123.115999999995</v>
      </c>
      <c r="L35" s="444">
        <f t="shared" si="4"/>
        <v>49.164060553749458</v>
      </c>
      <c r="M35" s="447">
        <f t="shared" si="5"/>
        <v>19.818415057101216</v>
      </c>
      <c r="N35" s="446">
        <f>VLOOKUP(A35,스마트금융!$A$5:$D$45,2,FALSE)</f>
        <v>6419</v>
      </c>
      <c r="O35" s="446">
        <f>VLOOKUP(A35,스마트금융!$A$5:$D$45,3,FALSE)</f>
        <v>6533</v>
      </c>
      <c r="P35" s="444">
        <f t="shared" si="6"/>
        <v>101.77597756659915</v>
      </c>
      <c r="Q35" s="447">
        <f t="shared" si="7"/>
        <v>20</v>
      </c>
      <c r="R35" s="448">
        <f t="shared" si="8"/>
        <v>83.080286326879147</v>
      </c>
      <c r="S35" s="449">
        <f t="shared" si="9"/>
        <v>32</v>
      </c>
      <c r="T35" s="450">
        <f>VLOOKUP(S35,Sheet8!$A$3:$B$42,2,FALSE)</f>
        <v>7000</v>
      </c>
      <c r="U35" s="452">
        <f>VLOOKUP(S35,Sheet8!A34:C73,3,FALSE)</f>
        <v>4000</v>
      </c>
    </row>
    <row r="36" spans="1:22">
      <c r="A36" s="132" t="s">
        <v>93</v>
      </c>
      <c r="B36" s="443">
        <f>VLOOKUP(A36,총수신고!$C$6:$I$45,2,FALSE)</f>
        <v>195824</v>
      </c>
      <c r="C36" s="443">
        <f>VLOOKUP(A36,총수신고!$C$6:$I$45,4,FALSE)</f>
        <v>218197.14419399999</v>
      </c>
      <c r="D36" s="444">
        <f t="shared" si="0"/>
        <v>111.42512878605277</v>
      </c>
      <c r="E36" s="445">
        <f t="shared" si="1"/>
        <v>9.3744433838767449</v>
      </c>
      <c r="F36" s="446">
        <f>VLOOKUP(A36,총수신고!$M$6:$U$45,2,FALSE)</f>
        <v>53537</v>
      </c>
      <c r="G36" s="446">
        <f>VLOOKUP(A36,총수신고!$M$6:$U$45,4,FALSE)</f>
        <v>51192.368634999999</v>
      </c>
      <c r="H36" s="444">
        <f t="shared" si="2"/>
        <v>95.620540252535619</v>
      </c>
      <c r="I36" s="445">
        <f t="shared" si="3"/>
        <v>34.137811075782821</v>
      </c>
      <c r="J36" s="446">
        <f>VLOOKUP(A36,체크카드!$A$5:$D$44,2,FALSE)</f>
        <v>288782</v>
      </c>
      <c r="K36" s="446">
        <f>VLOOKUP(A36,체크카드!$A$5:$D$44,3,FALSE)</f>
        <v>144771.52799999999</v>
      </c>
      <c r="L36" s="444">
        <f t="shared" si="4"/>
        <v>50.131769985663922</v>
      </c>
      <c r="M36" s="447">
        <f t="shared" si="5"/>
        <v>20.208506252993899</v>
      </c>
      <c r="N36" s="446">
        <f>VLOOKUP(A36,스마트금융!$A$5:$D$45,2,FALSE)</f>
        <v>8313</v>
      </c>
      <c r="O36" s="446">
        <f>VLOOKUP(A36,스마트금융!$A$5:$D$45,3,FALSE)</f>
        <v>8169</v>
      </c>
      <c r="P36" s="444">
        <f t="shared" si="6"/>
        <v>98.267773367015522</v>
      </c>
      <c r="Q36" s="447">
        <f t="shared" si="7"/>
        <v>19.310602701450257</v>
      </c>
      <c r="R36" s="448">
        <f t="shared" si="8"/>
        <v>83.031363414103723</v>
      </c>
      <c r="S36" s="449">
        <f t="shared" si="9"/>
        <v>33</v>
      </c>
      <c r="T36" s="450">
        <f>VLOOKUP(S36,Sheet8!$A$3:$B$42,2,FALSE)</f>
        <v>7000</v>
      </c>
      <c r="U36" s="452">
        <f>VLOOKUP(S36,Sheet8!A35:C74,3,FALSE)</f>
        <v>4000</v>
      </c>
    </row>
    <row r="37" spans="1:22">
      <c r="A37" s="132" t="s">
        <v>103</v>
      </c>
      <c r="B37" s="443">
        <f>VLOOKUP(A37,총수신고!$C$6:$I$45,2,FALSE)</f>
        <v>72426</v>
      </c>
      <c r="C37" s="443">
        <f>VLOOKUP(A37,총수신고!$C$6:$I$45,4,FALSE)</f>
        <v>79926.101607999997</v>
      </c>
      <c r="D37" s="444">
        <f t="shared" si="0"/>
        <v>110.35553752519813</v>
      </c>
      <c r="E37" s="445">
        <f t="shared" si="1"/>
        <v>9.284456297229319</v>
      </c>
      <c r="F37" s="446">
        <f>VLOOKUP(A37,총수신고!$M$6:$U$45,2,FALSE)</f>
        <v>20863</v>
      </c>
      <c r="G37" s="446">
        <f>VLOOKUP(A37,총수신고!$M$6:$U$45,4,FALSE)</f>
        <v>20303.624392999998</v>
      </c>
      <c r="H37" s="444">
        <f t="shared" si="2"/>
        <v>97.318815093706561</v>
      </c>
      <c r="I37" s="445">
        <f t="shared" si="3"/>
        <v>34.744117895735251</v>
      </c>
      <c r="J37" s="446">
        <f>VLOOKUP(A37,체크카드!$A$5:$D$44,2,FALSE)</f>
        <v>107227</v>
      </c>
      <c r="K37" s="446">
        <f>VLOOKUP(A37,체크카드!$A$5:$D$44,3,FALSE)</f>
        <v>53094.129000000001</v>
      </c>
      <c r="L37" s="444">
        <f t="shared" si="4"/>
        <v>49.515634122002858</v>
      </c>
      <c r="M37" s="447">
        <f t="shared" si="5"/>
        <v>19.960137095929447</v>
      </c>
      <c r="N37" s="446">
        <f>VLOOKUP(A37,스마트금융!$A$5:$D$45,2,FALSE)</f>
        <v>3148</v>
      </c>
      <c r="O37" s="446">
        <f>VLOOKUP(A37,스마트금융!$A$5:$D$45,3,FALSE)</f>
        <v>3042</v>
      </c>
      <c r="P37" s="444">
        <f t="shared" si="6"/>
        <v>96.632782719186778</v>
      </c>
      <c r="Q37" s="447">
        <f t="shared" si="7"/>
        <v>18.989310646700137</v>
      </c>
      <c r="R37" s="448">
        <f t="shared" si="8"/>
        <v>82.978021935594157</v>
      </c>
      <c r="S37" s="449">
        <f t="shared" si="9"/>
        <v>34</v>
      </c>
      <c r="T37" s="450">
        <f>VLOOKUP(S37,Sheet8!$A$3:$B$42,2,FALSE)</f>
        <v>7000</v>
      </c>
      <c r="U37" s="452">
        <f>VLOOKUP(S37,Sheet8!A36:C75,3,FALSE)</f>
        <v>4000</v>
      </c>
    </row>
    <row r="38" spans="1:22">
      <c r="A38" s="132" t="s">
        <v>85</v>
      </c>
      <c r="B38" s="443">
        <f>VLOOKUP(A38,총수신고!$C$6:$I$45,2,FALSE)</f>
        <v>265241</v>
      </c>
      <c r="C38" s="443">
        <f>VLOOKUP(A38,총수신고!$C$6:$I$45,4,FALSE)</f>
        <v>278237.21139000001</v>
      </c>
      <c r="D38" s="444">
        <f t="shared" si="0"/>
        <v>104.89977469169548</v>
      </c>
      <c r="E38" s="445">
        <f t="shared" si="1"/>
        <v>8.8254508614201992</v>
      </c>
      <c r="F38" s="446">
        <f>VLOOKUP(A38,총수신고!$M$6:$U$45,2,FALSE)</f>
        <v>62839</v>
      </c>
      <c r="G38" s="446">
        <f>VLOOKUP(A38,총수신고!$M$6:$U$45,4,FALSE)</f>
        <v>61894.689847000001</v>
      </c>
      <c r="H38" s="444">
        <f t="shared" si="2"/>
        <v>98.497254646000101</v>
      </c>
      <c r="I38" s="445">
        <f t="shared" si="3"/>
        <v>35.1648365686708</v>
      </c>
      <c r="J38" s="446">
        <f>VLOOKUP(A38,체크카드!$A$5:$D$44,2,FALSE)</f>
        <v>253357</v>
      </c>
      <c r="K38" s="446">
        <f>VLOOKUP(A38,체크카드!$A$5:$D$44,3,FALSE)</f>
        <v>123961.905</v>
      </c>
      <c r="L38" s="444">
        <f t="shared" si="4"/>
        <v>48.927760038206955</v>
      </c>
      <c r="M38" s="447">
        <f t="shared" si="5"/>
        <v>19.723160482062433</v>
      </c>
      <c r="N38" s="446">
        <f>VLOOKUP(A38,스마트금융!$A$5:$D$45,2,FALSE)</f>
        <v>9262</v>
      </c>
      <c r="O38" s="446">
        <f>VLOOKUP(A38,스마트금융!$A$5:$D$45,3,FALSE)</f>
        <v>8995</v>
      </c>
      <c r="P38" s="444">
        <f t="shared" si="6"/>
        <v>97.117253293025257</v>
      </c>
      <c r="Q38" s="447">
        <f t="shared" si="7"/>
        <v>19.084513971771901</v>
      </c>
      <c r="R38" s="448">
        <f t="shared" si="8"/>
        <v>82.797961883925339</v>
      </c>
      <c r="S38" s="449">
        <f t="shared" si="9"/>
        <v>35</v>
      </c>
      <c r="T38" s="450">
        <f>VLOOKUP(S38,Sheet8!$A$3:$B$42,2,FALSE)</f>
        <v>7000</v>
      </c>
      <c r="U38" s="452">
        <f>VLOOKUP(S38,Sheet8!A37:C76,3,FALSE)</f>
        <v>4000</v>
      </c>
    </row>
    <row r="39" spans="1:22">
      <c r="A39" s="132" t="s">
        <v>99</v>
      </c>
      <c r="B39" s="443">
        <f>VLOOKUP(A39,총수신고!$C$6:$I$45,2,FALSE)</f>
        <v>101589</v>
      </c>
      <c r="C39" s="443">
        <f>VLOOKUP(A39,총수신고!$C$6:$I$45,4,FALSE)</f>
        <v>103812.895831</v>
      </c>
      <c r="D39" s="444">
        <f t="shared" si="0"/>
        <v>102.18911085944345</v>
      </c>
      <c r="E39" s="445">
        <f t="shared" si="1"/>
        <v>8.5973966971126057</v>
      </c>
      <c r="F39" s="446">
        <f>VLOOKUP(A39,총수신고!$M$6:$U$45,2,FALSE)</f>
        <v>25162</v>
      </c>
      <c r="G39" s="446">
        <f>VLOOKUP(A39,총수신고!$M$6:$U$45,4,FALSE)</f>
        <v>23268.551044</v>
      </c>
      <c r="H39" s="444">
        <f t="shared" si="2"/>
        <v>92.474966393768369</v>
      </c>
      <c r="I39" s="445">
        <f t="shared" si="3"/>
        <v>33.014799159808305</v>
      </c>
      <c r="J39" s="446">
        <f>VLOOKUP(A39,체크카드!$A$5:$D$44,2,FALSE)</f>
        <v>63300</v>
      </c>
      <c r="K39" s="446">
        <f>VLOOKUP(A39,체크카드!$A$5:$D$44,3,FALSE)</f>
        <v>34605.103999999999</v>
      </c>
      <c r="L39" s="444">
        <f t="shared" si="4"/>
        <v>54.668410742496057</v>
      </c>
      <c r="M39" s="447">
        <f t="shared" si="5"/>
        <v>22.03726141420697</v>
      </c>
      <c r="N39" s="446">
        <f>VLOOKUP(A39,스마트금융!$A$5:$D$45,2,FALSE)</f>
        <v>2673</v>
      </c>
      <c r="O39" s="446">
        <f>VLOOKUP(A39,스마트금융!$A$5:$D$45,3,FALSE)</f>
        <v>2601</v>
      </c>
      <c r="P39" s="444">
        <f t="shared" si="6"/>
        <v>97.306397306397301</v>
      </c>
      <c r="Q39" s="447">
        <f t="shared" si="7"/>
        <v>19.121682666761497</v>
      </c>
      <c r="R39" s="448">
        <f t="shared" si="8"/>
        <v>82.771139937889387</v>
      </c>
      <c r="S39" s="449">
        <f t="shared" si="9"/>
        <v>36</v>
      </c>
      <c r="T39" s="450">
        <f>VLOOKUP(S39,Sheet8!$A$3:$B$42,2,FALSE)</f>
        <v>6000</v>
      </c>
      <c r="U39" s="452">
        <f>VLOOKUP(S39,Sheet8!A38:C77,3,FALSE)</f>
        <v>3500</v>
      </c>
    </row>
    <row r="40" spans="1:22">
      <c r="A40" s="132" t="s">
        <v>100</v>
      </c>
      <c r="B40" s="443">
        <f>VLOOKUP(A40,총수신고!$C$6:$I$45,2,FALSE)</f>
        <v>63569</v>
      </c>
      <c r="C40" s="443">
        <f>VLOOKUP(A40,총수신고!$C$6:$I$45,4,FALSE)</f>
        <v>65792.214259999993</v>
      </c>
      <c r="D40" s="444">
        <f t="shared" si="0"/>
        <v>103.4973245764445</v>
      </c>
      <c r="E40" s="445">
        <f t="shared" si="1"/>
        <v>8.7074596205989678</v>
      </c>
      <c r="F40" s="446">
        <f>VLOOKUP(A40,총수신고!$M$6:$U$45,2,FALSE)</f>
        <v>20737</v>
      </c>
      <c r="G40" s="446">
        <f>VLOOKUP(A40,총수신고!$M$6:$U$45,4,FALSE)</f>
        <v>20216.477986000002</v>
      </c>
      <c r="H40" s="444">
        <f t="shared" si="2"/>
        <v>97.489887572937278</v>
      </c>
      <c r="I40" s="445">
        <f t="shared" si="3"/>
        <v>34.805193057628507</v>
      </c>
      <c r="J40" s="446">
        <f>VLOOKUP(A40,체크카드!$A$5:$D$44,2,FALSE)</f>
        <v>90004</v>
      </c>
      <c r="K40" s="446">
        <f>VLOOKUP(A40,체크카드!$A$5:$D$44,3,FALSE)</f>
        <v>45584.495999999999</v>
      </c>
      <c r="L40" s="444">
        <f t="shared" si="4"/>
        <v>50.647189013821603</v>
      </c>
      <c r="M40" s="447">
        <f t="shared" si="5"/>
        <v>20.416275670599045</v>
      </c>
      <c r="N40" s="446">
        <f>VLOOKUP(A40,스마트금융!$A$5:$D$45,2,FALSE)</f>
        <v>2657</v>
      </c>
      <c r="O40" s="446">
        <f>VLOOKUP(A40,스마트금융!$A$5:$D$45,3,FALSE)</f>
        <v>2538</v>
      </c>
      <c r="P40" s="444">
        <f t="shared" si="6"/>
        <v>95.521264584117432</v>
      </c>
      <c r="Q40" s="447">
        <f t="shared" si="7"/>
        <v>18.770886189054028</v>
      </c>
      <c r="R40" s="448">
        <f t="shared" si="8"/>
        <v>82.699814537880542</v>
      </c>
      <c r="S40" s="449">
        <f t="shared" si="9"/>
        <v>37</v>
      </c>
      <c r="T40" s="450">
        <f>VLOOKUP(S40,Sheet8!$A$3:$B$42,2,FALSE)</f>
        <v>6000</v>
      </c>
      <c r="U40" s="452">
        <f>VLOOKUP(S40,Sheet8!A39:C78,3,FALSE)</f>
        <v>3500</v>
      </c>
    </row>
    <row r="41" spans="1:22">
      <c r="A41" s="132" t="s">
        <v>44</v>
      </c>
      <c r="B41" s="443">
        <f>VLOOKUP(A41,총수신고!$C$6:$I$45,2,FALSE)</f>
        <v>245473</v>
      </c>
      <c r="C41" s="443">
        <f>VLOOKUP(A41,총수신고!$C$6:$I$45,4,FALSE)</f>
        <v>261445.68440599999</v>
      </c>
      <c r="D41" s="444">
        <f t="shared" si="0"/>
        <v>106.50690072064953</v>
      </c>
      <c r="E41" s="445">
        <f t="shared" si="1"/>
        <v>8.9606619411229875</v>
      </c>
      <c r="F41" s="446">
        <f>VLOOKUP(A41,총수신고!$M$6:$U$45,2,FALSE)</f>
        <v>51645</v>
      </c>
      <c r="G41" s="446">
        <f>VLOOKUP(A41,총수신고!$M$6:$U$45,4,FALSE)</f>
        <v>48725.054067999998</v>
      </c>
      <c r="H41" s="444">
        <f t="shared" si="2"/>
        <v>94.346120762900568</v>
      </c>
      <c r="I41" s="445">
        <f t="shared" si="3"/>
        <v>33.682826282206491</v>
      </c>
      <c r="J41" s="446">
        <f>VLOOKUP(A41,체크카드!$A$5:$D$44,2,FALSE)</f>
        <v>189351</v>
      </c>
      <c r="K41" s="446">
        <f>VLOOKUP(A41,체크카드!$A$5:$D$44,3,FALSE)</f>
        <v>97037.941000000006</v>
      </c>
      <c r="L41" s="444">
        <f t="shared" si="4"/>
        <v>51.247651715596966</v>
      </c>
      <c r="M41" s="447">
        <f t="shared" si="5"/>
        <v>20.658326854249399</v>
      </c>
      <c r="N41" s="446">
        <f>VLOOKUP(A41,스마트금융!$A$5:$D$45,2,FALSE)</f>
        <v>6985</v>
      </c>
      <c r="O41" s="446">
        <f>VLOOKUP(A41,스마트금융!$A$5:$D$45,3,FALSE)</f>
        <v>6859</v>
      </c>
      <c r="P41" s="444">
        <f t="shared" si="6"/>
        <v>98.196134574087338</v>
      </c>
      <c r="Q41" s="447">
        <f t="shared" si="7"/>
        <v>19.296524960387774</v>
      </c>
      <c r="R41" s="448">
        <f t="shared" si="8"/>
        <v>82.598340037966651</v>
      </c>
      <c r="S41" s="449">
        <f t="shared" si="9"/>
        <v>38</v>
      </c>
      <c r="T41" s="450">
        <f>VLOOKUP(S41,Sheet8!$A$3:$B$42,2,FALSE)</f>
        <v>6000</v>
      </c>
      <c r="U41" s="452">
        <f>VLOOKUP(S41,Sheet8!A40:C79,3,FALSE)</f>
        <v>3500</v>
      </c>
    </row>
    <row r="42" spans="1:22">
      <c r="A42" s="132" t="s">
        <v>45</v>
      </c>
      <c r="B42" s="443">
        <f>VLOOKUP(A42,총수신고!$C$6:$I$45,2,FALSE)</f>
        <v>147268</v>
      </c>
      <c r="C42" s="443">
        <f>VLOOKUP(A42,총수신고!$C$6:$I$45,4,FALSE)</f>
        <v>154069.27998299999</v>
      </c>
      <c r="D42" s="444">
        <f t="shared" si="0"/>
        <v>104.61830131664721</v>
      </c>
      <c r="E42" s="445">
        <f t="shared" si="1"/>
        <v>8.8017698816698822</v>
      </c>
      <c r="F42" s="446">
        <f>VLOOKUP(A42,총수신고!$M$6:$U$45,2,FALSE)</f>
        <v>48945</v>
      </c>
      <c r="G42" s="446">
        <f>VLOOKUP(A42,총수신고!$M$6:$U$45,4,FALSE)</f>
        <v>47470.035056000001</v>
      </c>
      <c r="H42" s="444">
        <f t="shared" si="2"/>
        <v>96.986484944325269</v>
      </c>
      <c r="I42" s="445">
        <f t="shared" si="3"/>
        <v>34.625471589989615</v>
      </c>
      <c r="J42" s="446">
        <f>VLOOKUP(A42,체크카드!$A$5:$D$44,2,FALSE)</f>
        <v>273983</v>
      </c>
      <c r="K42" s="446">
        <f>VLOOKUP(A42,체크카드!$A$5:$D$44,3,FALSE)</f>
        <v>133372.21</v>
      </c>
      <c r="L42" s="444">
        <f t="shared" si="4"/>
        <v>48.679009281597764</v>
      </c>
      <c r="M42" s="447">
        <f t="shared" si="5"/>
        <v>19.622887118049725</v>
      </c>
      <c r="N42" s="446">
        <f>VLOOKUP(A42,스마트금융!$A$5:$D$45,2,FALSE)</f>
        <v>8275</v>
      </c>
      <c r="O42" s="446">
        <f>VLOOKUP(A42,스마트금융!$A$5:$D$45,3,FALSE)</f>
        <v>8110</v>
      </c>
      <c r="P42" s="444">
        <f t="shared" si="6"/>
        <v>98.006042296072508</v>
      </c>
      <c r="Q42" s="447">
        <f t="shared" si="7"/>
        <v>19.259169921888549</v>
      </c>
      <c r="R42" s="448">
        <f t="shared" si="8"/>
        <v>82.309298511597774</v>
      </c>
      <c r="S42" s="449">
        <f t="shared" si="9"/>
        <v>39</v>
      </c>
      <c r="T42" s="450">
        <f>VLOOKUP(S42,Sheet8!$A$3:$B$42,2,FALSE)</f>
        <v>6000</v>
      </c>
      <c r="U42" s="452">
        <f>VLOOKUP(S42,Sheet8!A41:C80,3,FALSE)</f>
        <v>3500</v>
      </c>
    </row>
    <row r="43" spans="1:22">
      <c r="A43" s="132" t="s">
        <v>29</v>
      </c>
      <c r="B43" s="443">
        <f>VLOOKUP(A43,총수신고!$C$6:$I$45,2,FALSE)</f>
        <v>255500</v>
      </c>
      <c r="C43" s="443">
        <f>VLOOKUP(A43,총수신고!$C$6:$I$45,4,FALSE)</f>
        <v>241537.95784700001</v>
      </c>
      <c r="D43" s="444">
        <f t="shared" si="0"/>
        <v>94.535404245401182</v>
      </c>
      <c r="E43" s="445">
        <f t="shared" si="1"/>
        <v>7.9534733728873519</v>
      </c>
      <c r="F43" s="446">
        <f>VLOOKUP(A43,총수신고!$M$6:$U$45,2,FALSE)</f>
        <v>68038</v>
      </c>
      <c r="G43" s="446">
        <f>VLOOKUP(A43,총수신고!$M$6:$U$45,4,FALSE)</f>
        <v>56736.576221000003</v>
      </c>
      <c r="H43" s="444">
        <f t="shared" si="2"/>
        <v>83.389541463593872</v>
      </c>
      <c r="I43" s="445">
        <f t="shared" si="3"/>
        <v>29.771181010502993</v>
      </c>
      <c r="J43" s="446">
        <f>VLOOKUP(A43,체크카드!$A$5:$D$44,2,FALSE)</f>
        <v>238942</v>
      </c>
      <c r="K43" s="446">
        <f>VLOOKUP(A43,체크카드!$A$5:$D$44,3,FALSE)</f>
        <v>124139.98299999999</v>
      </c>
      <c r="L43" s="444">
        <f t="shared" si="4"/>
        <v>51.954023570573604</v>
      </c>
      <c r="M43" s="447">
        <f t="shared" si="5"/>
        <v>20.943070840993062</v>
      </c>
      <c r="N43" s="446">
        <f>VLOOKUP(A43,스마트금융!$A$5:$D$45,2,FALSE)</f>
        <v>7626</v>
      </c>
      <c r="O43" s="446">
        <f>VLOOKUP(A43,스마트금융!$A$5:$D$45,3,FALSE)</f>
        <v>7349</v>
      </c>
      <c r="P43" s="444">
        <f t="shared" si="6"/>
        <v>96.367689483346439</v>
      </c>
      <c r="Q43" s="447">
        <f t="shared" si="7"/>
        <v>18.937217168026965</v>
      </c>
      <c r="R43" s="448">
        <f t="shared" si="8"/>
        <v>77.604942392410365</v>
      </c>
      <c r="S43" s="449">
        <f t="shared" si="9"/>
        <v>40</v>
      </c>
      <c r="T43" s="450">
        <f>VLOOKUP(S43,Sheet8!$A$3:$B$42,2,FALSE)</f>
        <v>6000</v>
      </c>
      <c r="U43" s="452">
        <f>VLOOKUP(S43,Sheet8!A42:C81,3,FALSE)</f>
        <v>3500</v>
      </c>
    </row>
    <row r="44" spans="1:22">
      <c r="A44" s="132" t="s">
        <v>84</v>
      </c>
      <c r="B44" s="443"/>
      <c r="C44" s="443"/>
      <c r="D44" s="444"/>
      <c r="E44" s="445">
        <f t="shared" si="1"/>
        <v>0</v>
      </c>
      <c r="F44" s="446"/>
      <c r="G44" s="446"/>
      <c r="H44" s="444"/>
      <c r="I44" s="445"/>
      <c r="J44" s="446"/>
      <c r="K44" s="446"/>
      <c r="L44" s="444"/>
      <c r="M44" s="447"/>
      <c r="N44" s="446"/>
      <c r="O44" s="446"/>
      <c r="P44" s="444"/>
      <c r="Q44" s="447"/>
      <c r="R44" s="448"/>
      <c r="S44" s="449"/>
      <c r="T44" s="450">
        <f>SUM(T4:T43)</f>
        <v>350000</v>
      </c>
      <c r="U44" s="452">
        <f>SUM(U4:U43)</f>
        <v>210000</v>
      </c>
    </row>
    <row r="45" spans="1:22" ht="17.25" thickBot="1">
      <c r="A45" s="133" t="s">
        <v>108</v>
      </c>
      <c r="B45" s="453"/>
      <c r="C45" s="453"/>
      <c r="D45" s="454"/>
      <c r="E45" s="455"/>
      <c r="F45" s="456"/>
      <c r="G45" s="456"/>
      <c r="H45" s="454"/>
      <c r="I45" s="455"/>
      <c r="J45" s="456"/>
      <c r="K45" s="456"/>
      <c r="L45" s="454"/>
      <c r="M45" s="454"/>
      <c r="N45" s="454"/>
      <c r="O45" s="454"/>
      <c r="P45" s="454"/>
      <c r="Q45" s="454"/>
      <c r="R45" s="454"/>
      <c r="S45" s="454"/>
      <c r="T45" s="454">
        <v>361078</v>
      </c>
      <c r="U45" s="457">
        <v>222000</v>
      </c>
      <c r="V45" s="1">
        <f>SUM(T45:U45)</f>
        <v>583078</v>
      </c>
    </row>
    <row r="46" spans="1:22">
      <c r="J46" s="115"/>
      <c r="K46" s="115"/>
    </row>
    <row r="47" spans="1:22">
      <c r="J47" s="115"/>
      <c r="K47" s="115"/>
      <c r="T47" s="418">
        <f>SUM(T4:T44)</f>
        <v>700000</v>
      </c>
    </row>
  </sheetData>
  <sortState ref="A4:S44">
    <sortCondition ref="S4:S44"/>
  </sortState>
  <mergeCells count="12">
    <mergeCell ref="U2:U3"/>
    <mergeCell ref="A2:A3"/>
    <mergeCell ref="B2:D2"/>
    <mergeCell ref="E2:E3"/>
    <mergeCell ref="F2:H2"/>
    <mergeCell ref="I2:I3"/>
    <mergeCell ref="J2:L2"/>
    <mergeCell ref="M2:M3"/>
    <mergeCell ref="N2:P2"/>
    <mergeCell ref="Q2:Q3"/>
    <mergeCell ref="R2:R3"/>
    <mergeCell ref="T2:T3"/>
  </mergeCells>
  <phoneticPr fontId="2" type="noConversion"/>
  <pageMargins left="0.70866141732283472" right="0.70866141732283472" top="0.46" bottom="0.31" header="0.31496062992125984" footer="0.31496062992125984"/>
  <pageSetup paperSize="9" scale="70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2:AB56"/>
  <sheetViews>
    <sheetView topLeftCell="A4" workbookViewId="0">
      <selection activeCell="C3" sqref="C3:C42"/>
    </sheetView>
  </sheetViews>
  <sheetFormatPr defaultRowHeight="16.5"/>
  <cols>
    <col min="1" max="1" width="9" style="114"/>
    <col min="2" max="3" width="9.375" style="114" bestFit="1" customWidth="1"/>
    <col min="7" max="7" width="11.625" bestFit="1" customWidth="1"/>
    <col min="13" max="14" width="9" style="1"/>
    <col min="15" max="21" width="0" style="1" hidden="1" customWidth="1"/>
    <col min="22" max="22" width="11.375" style="1" hidden="1" customWidth="1"/>
    <col min="23" max="23" width="0" style="1" hidden="1" customWidth="1"/>
    <col min="24" max="24" width="11" style="1" hidden="1" customWidth="1"/>
    <col min="25" max="30" width="0" style="1" hidden="1" customWidth="1"/>
    <col min="31" max="16384" width="9" style="1"/>
  </cols>
  <sheetData>
    <row r="2" spans="1:28">
      <c r="A2" s="114" t="s">
        <v>293</v>
      </c>
      <c r="B2" s="114" t="s">
        <v>294</v>
      </c>
      <c r="C2" s="114" t="s">
        <v>295</v>
      </c>
      <c r="G2">
        <v>5</v>
      </c>
    </row>
    <row r="3" spans="1:28">
      <c r="A3" s="493">
        <v>1</v>
      </c>
      <c r="B3" s="494">
        <v>11000</v>
      </c>
      <c r="C3" s="494">
        <v>7000</v>
      </c>
      <c r="F3" s="115">
        <v>11000</v>
      </c>
      <c r="G3" s="115">
        <f>F3*$G$2</f>
        <v>55000</v>
      </c>
      <c r="H3">
        <v>7000</v>
      </c>
      <c r="I3">
        <f>H3*$G$2</f>
        <v>35000</v>
      </c>
    </row>
    <row r="4" spans="1:28">
      <c r="A4" s="493">
        <v>2</v>
      </c>
      <c r="B4" s="494">
        <v>11000</v>
      </c>
      <c r="C4" s="494">
        <v>7000</v>
      </c>
      <c r="F4" s="115">
        <v>10400</v>
      </c>
      <c r="G4" s="115">
        <f t="shared" ref="G4:G10" si="0">F4*$G$2</f>
        <v>52000</v>
      </c>
      <c r="H4">
        <v>6500</v>
      </c>
      <c r="I4" s="1">
        <f t="shared" ref="I4:I10" si="1">H4*$G$2</f>
        <v>32500</v>
      </c>
    </row>
    <row r="5" spans="1:28">
      <c r="A5" s="493">
        <v>3</v>
      </c>
      <c r="B5" s="494">
        <v>11000</v>
      </c>
      <c r="C5" s="494">
        <v>7000</v>
      </c>
      <c r="F5" s="115">
        <v>9800</v>
      </c>
      <c r="G5" s="115">
        <f t="shared" si="0"/>
        <v>49000</v>
      </c>
      <c r="H5">
        <v>6000</v>
      </c>
      <c r="I5" s="1">
        <f t="shared" si="1"/>
        <v>30000</v>
      </c>
      <c r="Q5" s="419" t="s">
        <v>241</v>
      </c>
      <c r="R5" s="419" t="s">
        <v>242</v>
      </c>
      <c r="S5" s="419" t="s">
        <v>243</v>
      </c>
      <c r="T5" s="419"/>
      <c r="U5" s="419" t="s">
        <v>243</v>
      </c>
      <c r="V5" s="419"/>
      <c r="W5" s="419" t="s">
        <v>243</v>
      </c>
      <c r="X5" s="419"/>
      <c r="Y5" s="419" t="s">
        <v>243</v>
      </c>
      <c r="Z5" s="419"/>
      <c r="AA5" s="419" t="s">
        <v>241</v>
      </c>
      <c r="AB5" s="419" t="s">
        <v>242</v>
      </c>
    </row>
    <row r="6" spans="1:28">
      <c r="A6" s="493">
        <v>4</v>
      </c>
      <c r="B6" s="494">
        <v>11000</v>
      </c>
      <c r="C6" s="494">
        <v>7000</v>
      </c>
      <c r="F6" s="115">
        <v>9200</v>
      </c>
      <c r="G6" s="115">
        <f t="shared" si="0"/>
        <v>46000</v>
      </c>
      <c r="H6">
        <v>5500</v>
      </c>
      <c r="I6" s="1">
        <f t="shared" si="1"/>
        <v>27500</v>
      </c>
      <c r="Q6" s="435">
        <v>8000</v>
      </c>
      <c r="R6" s="419">
        <f>Q6*5</f>
        <v>40000</v>
      </c>
      <c r="S6" s="419">
        <v>1500</v>
      </c>
      <c r="T6" s="436">
        <f>S6*5</f>
        <v>7500</v>
      </c>
      <c r="U6" s="420">
        <v>9150</v>
      </c>
      <c r="V6" s="421">
        <f>U6*5</f>
        <v>45750</v>
      </c>
      <c r="W6" s="422">
        <v>5700</v>
      </c>
      <c r="X6" s="423">
        <f>W6*5</f>
        <v>28500</v>
      </c>
      <c r="Y6" s="419">
        <v>2000</v>
      </c>
      <c r="Z6" s="436">
        <f>Y6*5</f>
        <v>10000</v>
      </c>
      <c r="AA6" s="419">
        <v>2500</v>
      </c>
      <c r="AB6" s="419">
        <f>AA6*5</f>
        <v>12500</v>
      </c>
    </row>
    <row r="7" spans="1:28">
      <c r="A7" s="493">
        <v>5</v>
      </c>
      <c r="B7" s="494">
        <v>11000</v>
      </c>
      <c r="C7" s="494">
        <v>7000</v>
      </c>
      <c r="F7" s="115">
        <v>8600</v>
      </c>
      <c r="G7" s="115">
        <f t="shared" si="0"/>
        <v>43000</v>
      </c>
      <c r="H7">
        <v>5000</v>
      </c>
      <c r="I7" s="1">
        <f t="shared" si="1"/>
        <v>25000</v>
      </c>
      <c r="Q7" s="419">
        <f>Q6-200</f>
        <v>7800</v>
      </c>
      <c r="R7" s="419">
        <f t="shared" ref="R7:R13" si="2">Q7*5</f>
        <v>39000</v>
      </c>
      <c r="S7" s="419">
        <f>S6-100</f>
        <v>1400</v>
      </c>
      <c r="T7" s="436">
        <f t="shared" ref="T7:V13" si="3">S7*5</f>
        <v>7000</v>
      </c>
      <c r="U7" s="420">
        <f>U6-100</f>
        <v>9050</v>
      </c>
      <c r="V7" s="421">
        <f t="shared" si="3"/>
        <v>45250</v>
      </c>
      <c r="W7" s="422">
        <f>W6-100</f>
        <v>5600</v>
      </c>
      <c r="X7" s="423">
        <f t="shared" ref="X7:X13" si="4">W7*5</f>
        <v>28000</v>
      </c>
      <c r="Y7" s="419">
        <f>Y6-100</f>
        <v>1900</v>
      </c>
      <c r="Z7" s="436">
        <f t="shared" ref="Z7:Z13" si="5">Y7*5</f>
        <v>9500</v>
      </c>
      <c r="AA7" s="419">
        <f>AA6-200</f>
        <v>2300</v>
      </c>
      <c r="AB7" s="419">
        <f t="shared" ref="AB7:AB13" si="6">AA7*5</f>
        <v>11500</v>
      </c>
    </row>
    <row r="8" spans="1:28">
      <c r="A8" s="424">
        <v>6</v>
      </c>
      <c r="B8" s="495">
        <v>10400</v>
      </c>
      <c r="C8" s="495">
        <v>6500</v>
      </c>
      <c r="F8" s="115">
        <v>8000</v>
      </c>
      <c r="G8" s="115">
        <f t="shared" si="0"/>
        <v>40000</v>
      </c>
      <c r="H8">
        <v>4500</v>
      </c>
      <c r="I8" s="1">
        <f t="shared" si="1"/>
        <v>22500</v>
      </c>
      <c r="Q8" s="419">
        <f t="shared" ref="Q8:Q13" si="7">Q7-200</f>
        <v>7600</v>
      </c>
      <c r="R8" s="419">
        <f t="shared" si="2"/>
        <v>38000</v>
      </c>
      <c r="S8" s="419">
        <f t="shared" ref="S8:S13" si="8">S7-100</f>
        <v>1300</v>
      </c>
      <c r="T8" s="436">
        <f t="shared" si="3"/>
        <v>6500</v>
      </c>
      <c r="U8" s="420">
        <f t="shared" ref="U8:U13" si="9">U7-100</f>
        <v>8950</v>
      </c>
      <c r="V8" s="421">
        <f t="shared" si="3"/>
        <v>44750</v>
      </c>
      <c r="W8" s="422">
        <f t="shared" ref="W8:W13" si="10">W7-100</f>
        <v>5500</v>
      </c>
      <c r="X8" s="423">
        <f t="shared" si="4"/>
        <v>27500</v>
      </c>
      <c r="Y8" s="419">
        <f t="shared" ref="Y8:Y13" si="11">Y7-100</f>
        <v>1800</v>
      </c>
      <c r="Z8" s="436">
        <f t="shared" si="5"/>
        <v>9000</v>
      </c>
      <c r="AA8" s="419">
        <f t="shared" ref="AA8:AA13" si="12">AA7-200</f>
        <v>2100</v>
      </c>
      <c r="AB8" s="419">
        <f t="shared" si="6"/>
        <v>10500</v>
      </c>
    </row>
    <row r="9" spans="1:28">
      <c r="A9" s="424">
        <v>7</v>
      </c>
      <c r="B9" s="495">
        <v>10400</v>
      </c>
      <c r="C9" s="495">
        <v>6500</v>
      </c>
      <c r="F9" s="115">
        <v>7000</v>
      </c>
      <c r="G9" s="115">
        <f t="shared" si="0"/>
        <v>35000</v>
      </c>
      <c r="H9">
        <v>4000</v>
      </c>
      <c r="I9" s="1">
        <f t="shared" si="1"/>
        <v>20000</v>
      </c>
      <c r="Q9" s="419">
        <f t="shared" si="7"/>
        <v>7400</v>
      </c>
      <c r="R9" s="419">
        <f t="shared" si="2"/>
        <v>37000</v>
      </c>
      <c r="S9" s="419">
        <f t="shared" si="8"/>
        <v>1200</v>
      </c>
      <c r="T9" s="436">
        <f t="shared" si="3"/>
        <v>6000</v>
      </c>
      <c r="U9" s="420">
        <f t="shared" si="9"/>
        <v>8850</v>
      </c>
      <c r="V9" s="421">
        <f t="shared" si="3"/>
        <v>44250</v>
      </c>
      <c r="W9" s="422">
        <f t="shared" si="10"/>
        <v>5400</v>
      </c>
      <c r="X9" s="423">
        <f t="shared" si="4"/>
        <v>27000</v>
      </c>
      <c r="Y9" s="419">
        <f t="shared" si="11"/>
        <v>1700</v>
      </c>
      <c r="Z9" s="436">
        <f t="shared" si="5"/>
        <v>8500</v>
      </c>
      <c r="AA9" s="419">
        <f t="shared" si="12"/>
        <v>1900</v>
      </c>
      <c r="AB9" s="419">
        <f t="shared" si="6"/>
        <v>9500</v>
      </c>
    </row>
    <row r="10" spans="1:28">
      <c r="A10" s="424">
        <v>8</v>
      </c>
      <c r="B10" s="495">
        <v>10400</v>
      </c>
      <c r="C10" s="495">
        <v>6500</v>
      </c>
      <c r="F10" s="115">
        <v>6000</v>
      </c>
      <c r="G10" s="115">
        <f t="shared" si="0"/>
        <v>30000</v>
      </c>
      <c r="H10">
        <v>3500</v>
      </c>
      <c r="I10" s="1">
        <f t="shared" si="1"/>
        <v>17500</v>
      </c>
      <c r="Q10" s="419">
        <f t="shared" si="7"/>
        <v>7200</v>
      </c>
      <c r="R10" s="419">
        <f t="shared" si="2"/>
        <v>36000</v>
      </c>
      <c r="S10" s="419">
        <f t="shared" si="8"/>
        <v>1100</v>
      </c>
      <c r="T10" s="436">
        <f t="shared" si="3"/>
        <v>5500</v>
      </c>
      <c r="U10" s="420">
        <f t="shared" si="9"/>
        <v>8750</v>
      </c>
      <c r="V10" s="421">
        <f t="shared" si="3"/>
        <v>43750</v>
      </c>
      <c r="W10" s="422">
        <f t="shared" si="10"/>
        <v>5300</v>
      </c>
      <c r="X10" s="423">
        <f t="shared" si="4"/>
        <v>26500</v>
      </c>
      <c r="Y10" s="419">
        <f t="shared" si="11"/>
        <v>1600</v>
      </c>
      <c r="Z10" s="436">
        <f t="shared" si="5"/>
        <v>8000</v>
      </c>
      <c r="AA10" s="419">
        <f t="shared" si="12"/>
        <v>1700</v>
      </c>
      <c r="AB10" s="419">
        <f t="shared" si="6"/>
        <v>8500</v>
      </c>
    </row>
    <row r="11" spans="1:28">
      <c r="A11" s="424">
        <v>9</v>
      </c>
      <c r="B11" s="495">
        <v>10400</v>
      </c>
      <c r="C11" s="495">
        <v>6500</v>
      </c>
      <c r="F11" s="115"/>
      <c r="G11" s="115">
        <f>SUM(G3:G10)</f>
        <v>350000</v>
      </c>
      <c r="I11" s="1">
        <f>SUM(I3:I10)</f>
        <v>210000</v>
      </c>
      <c r="Q11" s="419">
        <f t="shared" si="7"/>
        <v>7000</v>
      </c>
      <c r="R11" s="419">
        <f t="shared" si="2"/>
        <v>35000</v>
      </c>
      <c r="S11" s="419">
        <f t="shared" si="8"/>
        <v>1000</v>
      </c>
      <c r="T11" s="436">
        <f t="shared" si="3"/>
        <v>5000</v>
      </c>
      <c r="U11" s="420">
        <f t="shared" si="9"/>
        <v>8650</v>
      </c>
      <c r="V11" s="421">
        <f t="shared" si="3"/>
        <v>43250</v>
      </c>
      <c r="W11" s="422">
        <f t="shared" si="10"/>
        <v>5200</v>
      </c>
      <c r="X11" s="423">
        <f t="shared" si="4"/>
        <v>26000</v>
      </c>
      <c r="Y11" s="419">
        <f t="shared" si="11"/>
        <v>1500</v>
      </c>
      <c r="Z11" s="436">
        <f t="shared" si="5"/>
        <v>7500</v>
      </c>
      <c r="AA11" s="419">
        <f t="shared" si="12"/>
        <v>1500</v>
      </c>
      <c r="AB11" s="419">
        <f t="shared" si="6"/>
        <v>7500</v>
      </c>
    </row>
    <row r="12" spans="1:28">
      <c r="A12" s="424">
        <v>10</v>
      </c>
      <c r="B12" s="495">
        <v>10400</v>
      </c>
      <c r="C12" s="495">
        <v>6500</v>
      </c>
      <c r="F12" s="115"/>
      <c r="G12" s="115">
        <v>11000</v>
      </c>
      <c r="I12">
        <v>7000</v>
      </c>
      <c r="Q12" s="419">
        <f t="shared" si="7"/>
        <v>6800</v>
      </c>
      <c r="R12" s="419">
        <f t="shared" si="2"/>
        <v>34000</v>
      </c>
      <c r="S12" s="419">
        <f t="shared" si="8"/>
        <v>900</v>
      </c>
      <c r="T12" s="436">
        <f t="shared" si="3"/>
        <v>4500</v>
      </c>
      <c r="U12" s="420">
        <f t="shared" si="9"/>
        <v>8550</v>
      </c>
      <c r="V12" s="421">
        <f t="shared" si="3"/>
        <v>42750</v>
      </c>
      <c r="W12" s="422">
        <f t="shared" si="10"/>
        <v>5100</v>
      </c>
      <c r="X12" s="423">
        <f t="shared" si="4"/>
        <v>25500</v>
      </c>
      <c r="Y12" s="419">
        <f t="shared" si="11"/>
        <v>1400</v>
      </c>
      <c r="Z12" s="436">
        <f t="shared" si="5"/>
        <v>7000</v>
      </c>
      <c r="AA12" s="419">
        <f t="shared" si="12"/>
        <v>1300</v>
      </c>
      <c r="AB12" s="419">
        <f t="shared" si="6"/>
        <v>6500</v>
      </c>
    </row>
    <row r="13" spans="1:28">
      <c r="A13" s="493">
        <v>11</v>
      </c>
      <c r="B13" s="496">
        <v>9800</v>
      </c>
      <c r="C13" s="496">
        <v>6000</v>
      </c>
      <c r="F13" s="115"/>
      <c r="G13" s="115">
        <f>SUM(G11:G12)</f>
        <v>361000</v>
      </c>
      <c r="I13">
        <f>SUM(I11:I12)</f>
        <v>217000</v>
      </c>
      <c r="Q13" s="419">
        <f t="shared" si="7"/>
        <v>6600</v>
      </c>
      <c r="R13" s="419">
        <f t="shared" si="2"/>
        <v>33000</v>
      </c>
      <c r="S13" s="419">
        <f t="shared" si="8"/>
        <v>800</v>
      </c>
      <c r="T13" s="436">
        <f t="shared" si="3"/>
        <v>4000</v>
      </c>
      <c r="U13" s="420">
        <f t="shared" si="9"/>
        <v>8450</v>
      </c>
      <c r="V13" s="421">
        <f t="shared" si="3"/>
        <v>42250</v>
      </c>
      <c r="W13" s="422">
        <f t="shared" si="10"/>
        <v>5000</v>
      </c>
      <c r="X13" s="423">
        <f t="shared" si="4"/>
        <v>25000</v>
      </c>
      <c r="Y13" s="419">
        <f t="shared" si="11"/>
        <v>1300</v>
      </c>
      <c r="Z13" s="436">
        <f t="shared" si="5"/>
        <v>6500</v>
      </c>
      <c r="AA13" s="419">
        <f t="shared" si="12"/>
        <v>1100</v>
      </c>
      <c r="AB13" s="419">
        <f t="shared" si="6"/>
        <v>5500</v>
      </c>
    </row>
    <row r="14" spans="1:28">
      <c r="A14" s="493">
        <v>12</v>
      </c>
      <c r="B14" s="496">
        <v>9800</v>
      </c>
      <c r="C14" s="496">
        <v>6000</v>
      </c>
      <c r="Q14" s="419"/>
      <c r="R14" s="437">
        <f>SUM(R6:R13)</f>
        <v>292000</v>
      </c>
      <c r="S14" s="437"/>
      <c r="T14" s="437">
        <f>SUM(T6:T13)</f>
        <v>46000</v>
      </c>
      <c r="U14" s="425"/>
      <c r="V14" s="426">
        <f>SUM(V6:V13)</f>
        <v>352000</v>
      </c>
      <c r="W14" s="427"/>
      <c r="X14" s="428">
        <f>SUM(X6:X13)</f>
        <v>214000</v>
      </c>
      <c r="Y14" s="437"/>
      <c r="Z14" s="438">
        <f>SUM(Z6:Z13)</f>
        <v>66000</v>
      </c>
      <c r="AA14" s="419"/>
      <c r="AB14" s="437">
        <f>SUM(AB6:AB13)</f>
        <v>72000</v>
      </c>
    </row>
    <row r="15" spans="1:28">
      <c r="A15" s="493">
        <v>13</v>
      </c>
      <c r="B15" s="496">
        <v>9800</v>
      </c>
      <c r="C15" s="496">
        <v>6000</v>
      </c>
      <c r="Q15" s="424"/>
      <c r="R15" s="424"/>
      <c r="S15" s="424"/>
      <c r="T15" s="424"/>
      <c r="U15" s="424"/>
      <c r="V15" s="424"/>
      <c r="W15" s="424"/>
      <c r="X15" s="424"/>
      <c r="Y15" s="419"/>
      <c r="Z15" s="419"/>
      <c r="AA15" s="419"/>
      <c r="AB15" s="439"/>
    </row>
    <row r="16" spans="1:28">
      <c r="A16" s="493">
        <v>14</v>
      </c>
      <c r="B16" s="496">
        <v>9800</v>
      </c>
      <c r="C16" s="496">
        <v>6000</v>
      </c>
      <c r="S16" s="424"/>
      <c r="T16" s="424"/>
      <c r="U16" s="424"/>
      <c r="V16" s="429">
        <v>1</v>
      </c>
      <c r="W16" s="429">
        <v>1000</v>
      </c>
      <c r="X16" s="429">
        <v>2500</v>
      </c>
      <c r="Y16" s="429">
        <v>2000</v>
      </c>
      <c r="Z16" s="429">
        <v>800</v>
      </c>
      <c r="AA16" s="429"/>
    </row>
    <row r="17" spans="1:27">
      <c r="A17" s="493">
        <v>15</v>
      </c>
      <c r="B17" s="496">
        <v>9800</v>
      </c>
      <c r="C17" s="496">
        <v>6000</v>
      </c>
      <c r="Q17" s="1">
        <v>361078</v>
      </c>
      <c r="R17" s="1">
        <v>222000</v>
      </c>
      <c r="S17" s="424"/>
      <c r="T17" s="424"/>
      <c r="U17" s="424"/>
      <c r="V17" s="429">
        <v>2</v>
      </c>
      <c r="W17" s="429">
        <v>1000</v>
      </c>
      <c r="X17" s="429">
        <v>2500</v>
      </c>
      <c r="Y17" s="429">
        <v>2000</v>
      </c>
      <c r="Z17" s="429">
        <v>800</v>
      </c>
      <c r="AA17" s="429"/>
    </row>
    <row r="18" spans="1:27">
      <c r="A18" s="424">
        <v>16</v>
      </c>
      <c r="B18" s="414">
        <v>9200</v>
      </c>
      <c r="C18" s="414">
        <v>5500</v>
      </c>
      <c r="S18" s="424"/>
      <c r="T18" s="424"/>
      <c r="U18" s="424"/>
      <c r="V18" s="429">
        <v>3</v>
      </c>
      <c r="W18" s="429">
        <v>1000</v>
      </c>
      <c r="X18" s="429">
        <v>2500</v>
      </c>
      <c r="Y18" s="429">
        <v>2000</v>
      </c>
      <c r="Z18" s="429">
        <v>800</v>
      </c>
      <c r="AA18" s="429"/>
    </row>
    <row r="19" spans="1:27">
      <c r="A19" s="424">
        <v>17</v>
      </c>
      <c r="B19" s="414">
        <v>9200</v>
      </c>
      <c r="C19" s="414">
        <v>5500</v>
      </c>
      <c r="S19" s="424"/>
      <c r="T19" s="424"/>
      <c r="U19" s="424"/>
      <c r="V19" s="429">
        <v>4</v>
      </c>
      <c r="W19" s="429">
        <v>1000</v>
      </c>
      <c r="X19" s="429">
        <v>2500</v>
      </c>
      <c r="Y19" s="429">
        <v>2000</v>
      </c>
      <c r="Z19" s="429">
        <v>800</v>
      </c>
      <c r="AA19" s="429"/>
    </row>
    <row r="20" spans="1:27">
      <c r="A20" s="424">
        <v>18</v>
      </c>
      <c r="B20" s="414">
        <v>9200</v>
      </c>
      <c r="C20" s="414">
        <v>5500</v>
      </c>
      <c r="S20" s="424"/>
      <c r="T20" s="424"/>
      <c r="U20" s="424"/>
      <c r="V20" s="429">
        <v>5</v>
      </c>
      <c r="W20" s="429">
        <v>1000</v>
      </c>
      <c r="X20" s="429">
        <v>2500</v>
      </c>
      <c r="Y20" s="429">
        <v>2000</v>
      </c>
      <c r="Z20" s="429">
        <v>800</v>
      </c>
      <c r="AA20" s="429"/>
    </row>
    <row r="21" spans="1:27">
      <c r="A21" s="424">
        <v>19</v>
      </c>
      <c r="B21" s="414">
        <v>9200</v>
      </c>
      <c r="C21" s="414">
        <v>5500</v>
      </c>
      <c r="S21" s="424"/>
      <c r="T21" s="424"/>
      <c r="U21" s="424"/>
      <c r="V21" s="430">
        <v>6</v>
      </c>
      <c r="W21" s="430">
        <v>900</v>
      </c>
      <c r="X21" s="430">
        <v>2300</v>
      </c>
      <c r="Y21" s="430">
        <v>1800</v>
      </c>
      <c r="Z21" s="430">
        <v>700</v>
      </c>
      <c r="AA21" s="430"/>
    </row>
    <row r="22" spans="1:27">
      <c r="A22" s="424">
        <v>20</v>
      </c>
      <c r="B22" s="414">
        <v>9200</v>
      </c>
      <c r="C22" s="414">
        <v>5500</v>
      </c>
      <c r="S22" s="424"/>
      <c r="T22" s="424"/>
      <c r="U22" s="424"/>
      <c r="V22" s="430">
        <v>7</v>
      </c>
      <c r="W22" s="430">
        <v>900</v>
      </c>
      <c r="X22" s="430">
        <v>2300</v>
      </c>
      <c r="Y22" s="430">
        <v>1800</v>
      </c>
      <c r="Z22" s="430">
        <v>700</v>
      </c>
      <c r="AA22" s="430"/>
    </row>
    <row r="23" spans="1:27">
      <c r="A23" s="493">
        <v>21</v>
      </c>
      <c r="B23" s="496">
        <v>8600</v>
      </c>
      <c r="C23" s="496">
        <v>5000</v>
      </c>
      <c r="S23" s="424"/>
      <c r="T23" s="424"/>
      <c r="U23" s="424"/>
      <c r="V23" s="430">
        <v>8</v>
      </c>
      <c r="W23" s="430">
        <v>900</v>
      </c>
      <c r="X23" s="430">
        <v>2300</v>
      </c>
      <c r="Y23" s="430">
        <v>1800</v>
      </c>
      <c r="Z23" s="430">
        <v>700</v>
      </c>
      <c r="AA23" s="430"/>
    </row>
    <row r="24" spans="1:27">
      <c r="A24" s="493">
        <v>22</v>
      </c>
      <c r="B24" s="496">
        <v>8600</v>
      </c>
      <c r="C24" s="496">
        <v>5000</v>
      </c>
      <c r="S24" s="424"/>
      <c r="T24" s="424"/>
      <c r="U24" s="424"/>
      <c r="V24" s="430">
        <v>9</v>
      </c>
      <c r="W24" s="430">
        <v>900</v>
      </c>
      <c r="X24" s="430">
        <v>2300</v>
      </c>
      <c r="Y24" s="430">
        <v>1800</v>
      </c>
      <c r="Z24" s="430">
        <v>700</v>
      </c>
      <c r="AA24" s="430"/>
    </row>
    <row r="25" spans="1:27">
      <c r="A25" s="493">
        <v>23</v>
      </c>
      <c r="B25" s="496">
        <v>8600</v>
      </c>
      <c r="C25" s="496">
        <v>5000</v>
      </c>
      <c r="S25" s="424"/>
      <c r="T25" s="424"/>
      <c r="U25" s="424"/>
      <c r="V25" s="430">
        <v>10</v>
      </c>
      <c r="W25" s="430">
        <v>900</v>
      </c>
      <c r="X25" s="430">
        <v>2300</v>
      </c>
      <c r="Y25" s="430">
        <v>1800</v>
      </c>
      <c r="Z25" s="430">
        <v>700</v>
      </c>
      <c r="AA25" s="430"/>
    </row>
    <row r="26" spans="1:27">
      <c r="A26" s="493">
        <v>24</v>
      </c>
      <c r="B26" s="496">
        <v>8600</v>
      </c>
      <c r="C26" s="496">
        <v>5000</v>
      </c>
      <c r="V26" s="429">
        <v>11</v>
      </c>
      <c r="W26" s="431">
        <v>800</v>
      </c>
      <c r="X26" s="431">
        <v>2100</v>
      </c>
      <c r="Y26" s="431">
        <v>1600</v>
      </c>
      <c r="Z26" s="431">
        <v>600</v>
      </c>
      <c r="AA26" s="431"/>
    </row>
    <row r="27" spans="1:27">
      <c r="A27" s="493">
        <v>25</v>
      </c>
      <c r="B27" s="496">
        <v>8600</v>
      </c>
      <c r="C27" s="496">
        <v>5000</v>
      </c>
      <c r="V27" s="429">
        <v>12</v>
      </c>
      <c r="W27" s="431">
        <v>800</v>
      </c>
      <c r="X27" s="431">
        <v>2100</v>
      </c>
      <c r="Y27" s="431">
        <v>1600</v>
      </c>
      <c r="Z27" s="431">
        <v>600</v>
      </c>
      <c r="AA27" s="431"/>
    </row>
    <row r="28" spans="1:27">
      <c r="A28" s="424">
        <v>26</v>
      </c>
      <c r="B28" s="414">
        <v>8000</v>
      </c>
      <c r="C28" s="414">
        <v>4500</v>
      </c>
      <c r="V28" s="429">
        <v>13</v>
      </c>
      <c r="W28" s="431">
        <v>800</v>
      </c>
      <c r="X28" s="431">
        <v>2100</v>
      </c>
      <c r="Y28" s="431">
        <v>1600</v>
      </c>
      <c r="Z28" s="431">
        <v>600</v>
      </c>
      <c r="AA28" s="431"/>
    </row>
    <row r="29" spans="1:27">
      <c r="A29" s="424">
        <v>27</v>
      </c>
      <c r="B29" s="414">
        <v>8000</v>
      </c>
      <c r="C29" s="414">
        <v>4500</v>
      </c>
      <c r="V29" s="429">
        <v>14</v>
      </c>
      <c r="W29" s="431">
        <v>800</v>
      </c>
      <c r="X29" s="431">
        <v>2100</v>
      </c>
      <c r="Y29" s="431">
        <v>1600</v>
      </c>
      <c r="Z29" s="431">
        <v>600</v>
      </c>
      <c r="AA29" s="431"/>
    </row>
    <row r="30" spans="1:27">
      <c r="A30" s="424">
        <v>28</v>
      </c>
      <c r="B30" s="414">
        <v>8000</v>
      </c>
      <c r="C30" s="414">
        <v>4500</v>
      </c>
      <c r="V30" s="429">
        <v>15</v>
      </c>
      <c r="W30" s="431">
        <v>800</v>
      </c>
      <c r="X30" s="431">
        <v>2100</v>
      </c>
      <c r="Y30" s="431">
        <v>1600</v>
      </c>
      <c r="Z30" s="431">
        <v>600</v>
      </c>
      <c r="AA30" s="431"/>
    </row>
    <row r="31" spans="1:27">
      <c r="A31" s="424">
        <v>29</v>
      </c>
      <c r="B31" s="414">
        <v>8000</v>
      </c>
      <c r="C31" s="414">
        <v>4500</v>
      </c>
      <c r="V31" s="430">
        <v>16</v>
      </c>
      <c r="W31" s="432">
        <v>700</v>
      </c>
      <c r="X31" s="432">
        <v>1900</v>
      </c>
      <c r="Y31" s="432">
        <v>1400</v>
      </c>
      <c r="Z31" s="432">
        <v>500</v>
      </c>
      <c r="AA31" s="432"/>
    </row>
    <row r="32" spans="1:27">
      <c r="A32" s="424">
        <v>30</v>
      </c>
      <c r="B32" s="414">
        <v>8000</v>
      </c>
      <c r="C32" s="414">
        <v>4500</v>
      </c>
      <c r="V32" s="430">
        <v>17</v>
      </c>
      <c r="W32" s="432">
        <v>700</v>
      </c>
      <c r="X32" s="432">
        <v>1900</v>
      </c>
      <c r="Y32" s="432">
        <v>1400</v>
      </c>
      <c r="Z32" s="432">
        <v>500</v>
      </c>
      <c r="AA32" s="432"/>
    </row>
    <row r="33" spans="1:27">
      <c r="A33" s="493">
        <v>31</v>
      </c>
      <c r="B33" s="496">
        <v>7000</v>
      </c>
      <c r="C33" s="496">
        <v>4000</v>
      </c>
      <c r="V33" s="430">
        <v>18</v>
      </c>
      <c r="W33" s="432">
        <v>700</v>
      </c>
      <c r="X33" s="432">
        <v>1900</v>
      </c>
      <c r="Y33" s="432">
        <v>1400</v>
      </c>
      <c r="Z33" s="432">
        <v>500</v>
      </c>
      <c r="AA33" s="432"/>
    </row>
    <row r="34" spans="1:27">
      <c r="A34" s="493">
        <v>32</v>
      </c>
      <c r="B34" s="496">
        <v>7000</v>
      </c>
      <c r="C34" s="496">
        <v>4000</v>
      </c>
      <c r="V34" s="430">
        <v>19</v>
      </c>
      <c r="W34" s="432">
        <v>700</v>
      </c>
      <c r="X34" s="432">
        <v>1900</v>
      </c>
      <c r="Y34" s="432">
        <v>1400</v>
      </c>
      <c r="Z34" s="432">
        <v>500</v>
      </c>
      <c r="AA34" s="432"/>
    </row>
    <row r="35" spans="1:27">
      <c r="A35" s="493">
        <v>33</v>
      </c>
      <c r="B35" s="496">
        <v>7000</v>
      </c>
      <c r="C35" s="496">
        <v>4000</v>
      </c>
      <c r="V35" s="430">
        <v>20</v>
      </c>
      <c r="W35" s="432">
        <v>700</v>
      </c>
      <c r="X35" s="432">
        <v>1900</v>
      </c>
      <c r="Y35" s="432">
        <v>1400</v>
      </c>
      <c r="Z35" s="432">
        <v>500</v>
      </c>
      <c r="AA35" s="432"/>
    </row>
    <row r="36" spans="1:27">
      <c r="A36" s="493">
        <v>34</v>
      </c>
      <c r="B36" s="496">
        <v>7000</v>
      </c>
      <c r="C36" s="496">
        <v>4000</v>
      </c>
      <c r="V36" s="429">
        <v>21</v>
      </c>
      <c r="W36" s="431">
        <v>600</v>
      </c>
      <c r="X36" s="431">
        <v>1700</v>
      </c>
      <c r="Y36" s="431">
        <v>1200</v>
      </c>
      <c r="Z36" s="431">
        <v>400</v>
      </c>
      <c r="AA36" s="431"/>
    </row>
    <row r="37" spans="1:27">
      <c r="A37" s="493">
        <v>35</v>
      </c>
      <c r="B37" s="496">
        <v>7000</v>
      </c>
      <c r="C37" s="496">
        <v>4000</v>
      </c>
      <c r="V37" s="429">
        <v>22</v>
      </c>
      <c r="W37" s="431">
        <v>600</v>
      </c>
      <c r="X37" s="431">
        <v>1700</v>
      </c>
      <c r="Y37" s="431">
        <v>1200</v>
      </c>
      <c r="Z37" s="431">
        <v>400</v>
      </c>
      <c r="AA37" s="431"/>
    </row>
    <row r="38" spans="1:27">
      <c r="A38" s="424">
        <v>36</v>
      </c>
      <c r="B38" s="414">
        <v>6000</v>
      </c>
      <c r="C38" s="414">
        <v>3500</v>
      </c>
      <c r="V38" s="429">
        <v>23</v>
      </c>
      <c r="W38" s="431">
        <v>600</v>
      </c>
      <c r="X38" s="431">
        <v>1700</v>
      </c>
      <c r="Y38" s="431">
        <v>1200</v>
      </c>
      <c r="Z38" s="431">
        <v>400</v>
      </c>
      <c r="AA38" s="431"/>
    </row>
    <row r="39" spans="1:27">
      <c r="A39" s="424">
        <v>37</v>
      </c>
      <c r="B39" s="414">
        <v>6000</v>
      </c>
      <c r="C39" s="414">
        <v>3500</v>
      </c>
      <c r="V39" s="429">
        <v>24</v>
      </c>
      <c r="W39" s="431">
        <v>600</v>
      </c>
      <c r="X39" s="431">
        <v>1700</v>
      </c>
      <c r="Y39" s="431">
        <v>1200</v>
      </c>
      <c r="Z39" s="431">
        <v>400</v>
      </c>
      <c r="AA39" s="431"/>
    </row>
    <row r="40" spans="1:27">
      <c r="A40" s="424">
        <v>38</v>
      </c>
      <c r="B40" s="414">
        <v>6000</v>
      </c>
      <c r="C40" s="414">
        <v>3500</v>
      </c>
      <c r="V40" s="429">
        <v>25</v>
      </c>
      <c r="W40" s="431">
        <v>500</v>
      </c>
      <c r="X40" s="431">
        <v>1700</v>
      </c>
      <c r="Y40" s="431">
        <v>1200</v>
      </c>
      <c r="Z40" s="431">
        <v>400</v>
      </c>
      <c r="AA40" s="431"/>
    </row>
    <row r="41" spans="1:27">
      <c r="A41" s="424">
        <v>39</v>
      </c>
      <c r="B41" s="414">
        <v>6000</v>
      </c>
      <c r="C41" s="414">
        <v>3500</v>
      </c>
      <c r="V41" s="430">
        <v>26</v>
      </c>
      <c r="W41" s="432">
        <v>500</v>
      </c>
      <c r="X41" s="432">
        <v>1500</v>
      </c>
      <c r="Y41" s="432">
        <v>1000</v>
      </c>
      <c r="Z41" s="432">
        <v>300</v>
      </c>
      <c r="AA41" s="432"/>
    </row>
    <row r="42" spans="1:27">
      <c r="A42" s="424">
        <v>40</v>
      </c>
      <c r="B42" s="414">
        <v>6000</v>
      </c>
      <c r="C42" s="414">
        <v>3500</v>
      </c>
      <c r="V42" s="430">
        <v>27</v>
      </c>
      <c r="W42" s="432">
        <v>500</v>
      </c>
      <c r="X42" s="432">
        <v>1500</v>
      </c>
      <c r="Y42" s="432">
        <v>1000</v>
      </c>
      <c r="Z42" s="432">
        <v>300</v>
      </c>
      <c r="AA42" s="432"/>
    </row>
    <row r="43" spans="1:27">
      <c r="A43" s="114" t="s">
        <v>291</v>
      </c>
      <c r="B43" s="414">
        <f>SUM(B3:B42)</f>
        <v>350000</v>
      </c>
      <c r="C43" s="414">
        <f>SUM(C3:C42)</f>
        <v>210000</v>
      </c>
      <c r="V43" s="430">
        <v>28</v>
      </c>
      <c r="W43" s="432">
        <v>500</v>
      </c>
      <c r="X43" s="432">
        <v>1500</v>
      </c>
      <c r="Y43" s="432">
        <v>1000</v>
      </c>
      <c r="Z43" s="432">
        <v>300</v>
      </c>
      <c r="AA43" s="432"/>
    </row>
    <row r="44" spans="1:27">
      <c r="A44" s="114" t="s">
        <v>244</v>
      </c>
      <c r="B44" s="414">
        <v>11000</v>
      </c>
      <c r="C44" s="414">
        <v>7000</v>
      </c>
      <c r="V44" s="430">
        <v>29</v>
      </c>
      <c r="W44" s="432">
        <v>500</v>
      </c>
      <c r="X44" s="432">
        <v>1500</v>
      </c>
      <c r="Y44" s="432">
        <v>1000</v>
      </c>
      <c r="Z44" s="432">
        <v>300</v>
      </c>
      <c r="AA44" s="432"/>
    </row>
    <row r="45" spans="1:27">
      <c r="A45" s="114" t="s">
        <v>292</v>
      </c>
      <c r="B45" s="414">
        <f>SUM(B43:B44)</f>
        <v>361000</v>
      </c>
      <c r="C45" s="414">
        <f>SUM(C43:C44)</f>
        <v>217000</v>
      </c>
      <c r="V45" s="430">
        <v>30</v>
      </c>
      <c r="W45" s="432">
        <v>500</v>
      </c>
      <c r="X45" s="432">
        <v>1500</v>
      </c>
      <c r="Y45" s="432">
        <v>1000</v>
      </c>
      <c r="Z45" s="432">
        <v>300</v>
      </c>
      <c r="AA45" s="432"/>
    </row>
    <row r="46" spans="1:27">
      <c r="B46" s="497"/>
      <c r="C46" s="497">
        <f>SUM(B45:C45)</f>
        <v>578000</v>
      </c>
      <c r="V46" s="429">
        <v>31</v>
      </c>
      <c r="W46" s="431">
        <v>400</v>
      </c>
      <c r="X46" s="431">
        <v>1300</v>
      </c>
      <c r="Y46" s="431">
        <v>800</v>
      </c>
      <c r="Z46" s="431">
        <v>200</v>
      </c>
      <c r="AA46" s="431"/>
    </row>
    <row r="47" spans="1:27">
      <c r="V47" s="429">
        <v>32</v>
      </c>
      <c r="W47" s="431">
        <v>400</v>
      </c>
      <c r="X47" s="431">
        <v>1300</v>
      </c>
      <c r="Y47" s="431">
        <v>800</v>
      </c>
      <c r="Z47" s="431">
        <v>200</v>
      </c>
      <c r="AA47" s="431"/>
    </row>
    <row r="48" spans="1:27">
      <c r="V48" s="429">
        <v>33</v>
      </c>
      <c r="W48" s="431">
        <v>400</v>
      </c>
      <c r="X48" s="431">
        <v>1300</v>
      </c>
      <c r="Y48" s="431">
        <v>800</v>
      </c>
      <c r="Z48" s="431">
        <v>200</v>
      </c>
      <c r="AA48" s="431"/>
    </row>
    <row r="49" spans="22:27">
      <c r="V49" s="429">
        <v>34</v>
      </c>
      <c r="W49" s="431">
        <v>400</v>
      </c>
      <c r="X49" s="431">
        <v>1300</v>
      </c>
      <c r="Y49" s="431">
        <v>800</v>
      </c>
      <c r="Z49" s="431">
        <v>200</v>
      </c>
      <c r="AA49" s="431"/>
    </row>
    <row r="50" spans="22:27">
      <c r="V50" s="429">
        <v>35</v>
      </c>
      <c r="W50" s="431">
        <v>400</v>
      </c>
      <c r="X50" s="431">
        <v>1300</v>
      </c>
      <c r="Y50" s="431">
        <v>800</v>
      </c>
      <c r="Z50" s="431">
        <v>200</v>
      </c>
      <c r="AA50" s="431"/>
    </row>
    <row r="51" spans="22:27">
      <c r="V51" s="430">
        <v>36</v>
      </c>
      <c r="W51" s="432">
        <v>300</v>
      </c>
      <c r="X51" s="432">
        <v>1100</v>
      </c>
      <c r="Y51" s="432">
        <v>600</v>
      </c>
      <c r="Z51" s="432">
        <v>100</v>
      </c>
      <c r="AA51" s="432"/>
    </row>
    <row r="52" spans="22:27">
      <c r="V52" s="430">
        <v>37</v>
      </c>
      <c r="W52" s="432">
        <v>300</v>
      </c>
      <c r="X52" s="432">
        <v>1100</v>
      </c>
      <c r="Y52" s="432">
        <v>600</v>
      </c>
      <c r="Z52" s="432">
        <v>100</v>
      </c>
      <c r="AA52" s="432"/>
    </row>
    <row r="53" spans="22:27">
      <c r="V53" s="430">
        <v>38</v>
      </c>
      <c r="W53" s="432">
        <v>300</v>
      </c>
      <c r="X53" s="432">
        <v>1100</v>
      </c>
      <c r="Y53" s="432">
        <v>600</v>
      </c>
      <c r="Z53" s="432">
        <v>100</v>
      </c>
      <c r="AA53" s="432"/>
    </row>
    <row r="54" spans="22:27">
      <c r="V54" s="430">
        <v>39</v>
      </c>
      <c r="W54" s="432">
        <v>300</v>
      </c>
      <c r="X54" s="432">
        <v>1100</v>
      </c>
      <c r="Y54" s="432">
        <v>600</v>
      </c>
      <c r="Z54" s="432">
        <v>100</v>
      </c>
      <c r="AA54" s="432"/>
    </row>
    <row r="55" spans="22:27">
      <c r="V55" s="430">
        <v>40</v>
      </c>
      <c r="W55" s="432">
        <v>300</v>
      </c>
      <c r="X55" s="432">
        <v>1100</v>
      </c>
      <c r="Y55" s="432">
        <v>600</v>
      </c>
      <c r="Z55" s="432">
        <v>100</v>
      </c>
      <c r="AA55" s="432"/>
    </row>
    <row r="56" spans="22:27">
      <c r="W56" s="1">
        <f>SUM(W16:W55)</f>
        <v>25900</v>
      </c>
      <c r="X56" s="1">
        <f>SUM(X16:X55)</f>
        <v>72000</v>
      </c>
      <c r="Y56" s="1">
        <f>SUM(Y16:Y55)</f>
        <v>52000</v>
      </c>
      <c r="Z56" s="1">
        <f>SUM(Z16:Z55)</f>
        <v>18000</v>
      </c>
    </row>
  </sheetData>
  <phoneticPr fontId="2" type="noConversion"/>
  <pageMargins left="0.7" right="0.7" top="0.75" bottom="0.75" header="0.3" footer="0.3"/>
  <pageSetup paperSize="9" scale="97" orientation="portrait" verticalDpi="0" r:id="rId1"/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4</vt:i4>
      </vt:variant>
    </vt:vector>
  </HeadingPairs>
  <TitlesOfParts>
    <vt:vector size="17" baseType="lpstr">
      <vt:lpstr>Sheet1</vt:lpstr>
      <vt:lpstr>Sheet1 (3)</vt:lpstr>
      <vt:lpstr>Sheet1 (2)</vt:lpstr>
      <vt:lpstr>Sheet3</vt:lpstr>
      <vt:lpstr>예산 배정</vt:lpstr>
      <vt:lpstr>평가 내역</vt:lpstr>
      <vt:lpstr>예산 배정 5050</vt:lpstr>
      <vt:lpstr>평가 내역 세부자료</vt:lpstr>
      <vt:lpstr>총수신고</vt:lpstr>
      <vt:lpstr>체크카드</vt:lpstr>
      <vt:lpstr>스마트금융</vt:lpstr>
      <vt:lpstr>예산 배정 (2)</vt:lpstr>
      <vt:lpstr>Sheet8</vt:lpstr>
      <vt:lpstr>Sheet8!Print_Area</vt:lpstr>
      <vt:lpstr>'예산 배정'!Print_Area</vt:lpstr>
      <vt:lpstr>'평가 내역'!Print_Area</vt:lpstr>
      <vt:lpstr>'평가 내역 세부자료'!Print_Area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전현복</cp:lastModifiedBy>
  <cp:lastPrinted>2015-08-26T04:35:29Z</cp:lastPrinted>
  <dcterms:created xsi:type="dcterms:W3CDTF">2014-11-10T02:05:35Z</dcterms:created>
  <dcterms:modified xsi:type="dcterms:W3CDTF">2015-08-26T04:41:06Z</dcterms:modified>
</cp:coreProperties>
</file>